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730" windowHeight="11760"/>
  </bookViews>
  <sheets>
    <sheet name="Weight &amp; Ballance" sheetId="1" r:id="rId1"/>
    <sheet name="Performance Charts" sheetId="2" r:id="rId2"/>
    <sheet name="Data" sheetId="3" r:id="rId3"/>
    <sheet name="Notes" sheetId="4" r:id="rId4"/>
  </sheets>
  <definedNames>
    <definedName name="Aerodrome">Data!$A$15:$A$24</definedName>
    <definedName name="Aircraft">Data!$A$3:$A$4</definedName>
    <definedName name="AircraftData">Data!$A$3:$C$4</definedName>
    <definedName name="Airport">Data!$A$28:$A$53</definedName>
    <definedName name="EKAH">Data!$B$19:$C$19</definedName>
    <definedName name="EKBI">Data!$B$21:$C$21</definedName>
    <definedName name="EKCH">Data!$B$23:$G$23</definedName>
    <definedName name="EKKA">Data!$B$22:$C$22</definedName>
    <definedName name="EKOD">Data!$B$16:$C$16</definedName>
    <definedName name="EKRK">Data!$B$15:$E$15</definedName>
    <definedName name="EKSP">Data!$B$24:$C$24</definedName>
    <definedName name="EKYT">Data!$B$20:$C$20</definedName>
    <definedName name="ESMS">Data!$B$17:$C$17</definedName>
    <definedName name="ESTA">Data!$B$18:$C$18</definedName>
    <definedName name="Fuel">Data!$A$7:$A$8</definedName>
    <definedName name="GLHR">Data!$E$3:$F$6</definedName>
    <definedName name="PWR">Data!$E$3:$E$6</definedName>
    <definedName name="Runway">Data!$B$28:$B$53</definedName>
    <definedName name="Type">Data!$C$28:$C$53</definedName>
    <definedName name="_xlnm.Print_Area" localSheetId="1">'Performance Charts'!$A$1:$J$115</definedName>
    <definedName name="_xlnm.Print_Area" localSheetId="0">'Weight &amp; Ballance'!$A$1:$T$64</definedName>
    <definedName name="VIZ">Data!$E$28:$E$53</definedName>
    <definedName name="VV">Data!$D$28:$D$53</definedName>
  </definedNames>
  <calcPr calcId="124519"/>
</workbook>
</file>

<file path=xl/calcChain.xml><?xml version="1.0" encoding="utf-8"?>
<calcChain xmlns="http://schemas.openxmlformats.org/spreadsheetml/2006/main">
  <c r="L39" i="2"/>
  <c r="R4" i="1"/>
  <c r="E48"/>
  <c r="S10"/>
  <c r="S6"/>
  <c r="S7"/>
  <c r="R7" s="1"/>
  <c r="S8"/>
  <c r="R8" s="1"/>
  <c r="S5"/>
  <c r="R5" s="1"/>
  <c r="C25" l="1"/>
  <c r="P6" l="1"/>
  <c r="P9" l="1"/>
  <c r="R6"/>
  <c r="R9" s="1"/>
  <c r="R10" s="1"/>
  <c r="P10" s="1"/>
  <c r="P11" l="1"/>
  <c r="R11"/>
  <c r="M22" l="1" a="1"/>
  <c r="M22" s="1"/>
  <c r="L22" a="1"/>
  <c r="L22" s="1"/>
  <c r="K22" a="1"/>
  <c r="K22" s="1"/>
  <c r="M21" l="1" a="1"/>
  <c r="M21" s="1"/>
  <c r="L21" a="1"/>
  <c r="L21" s="1"/>
  <c r="K21" a="1"/>
  <c r="K21" s="1"/>
  <c r="M20" a="1"/>
  <c r="M20" s="1"/>
  <c r="L20" a="1"/>
  <c r="L20" s="1"/>
  <c r="K20" a="1"/>
  <c r="K20" s="1"/>
  <c r="K3" l="1"/>
  <c r="E61"/>
  <c r="E49"/>
  <c r="E62" l="1"/>
  <c r="E36" l="1"/>
  <c r="E23" l="1"/>
  <c r="E20"/>
  <c r="C17"/>
  <c r="B8" i="3" l="1"/>
  <c r="B7"/>
  <c r="E25" i="1" l="1"/>
  <c r="E22"/>
  <c r="E21"/>
  <c r="E19"/>
  <c r="C18"/>
  <c r="E18" s="1"/>
  <c r="D17"/>
  <c r="E17" s="1"/>
  <c r="E13"/>
  <c r="E12"/>
  <c r="E5"/>
  <c r="E7" s="1"/>
  <c r="C13"/>
  <c r="C12"/>
  <c r="C5"/>
  <c r="C7" s="1"/>
  <c r="E24" l="1"/>
  <c r="E27" s="1"/>
  <c r="C24"/>
  <c r="I7" s="1"/>
  <c r="C26" l="1"/>
  <c r="C38"/>
  <c r="D41" s="1"/>
  <c r="D43" s="1"/>
  <c r="E43" s="1"/>
  <c r="D24"/>
  <c r="C27"/>
  <c r="D27" s="1"/>
  <c r="E26"/>
  <c r="K16" l="1"/>
  <c r="D26"/>
</calcChain>
</file>

<file path=xl/comments1.xml><?xml version="1.0" encoding="utf-8"?>
<comments xmlns="http://schemas.openxmlformats.org/spreadsheetml/2006/main">
  <authors>
    <author>Vatslav Roudnitski</author>
  </authors>
  <commentList>
    <comment ref="I3" authorId="0">
      <text>
        <r>
          <rPr>
            <b/>
            <sz val="8"/>
            <color indexed="81"/>
            <rFont val="Tahoma"/>
            <family val="2"/>
          </rPr>
          <t>AOM page 8-8
30 FT/MIN penalty for boots</t>
        </r>
      </text>
    </comment>
    <comment ref="P4" authorId="0">
      <text>
        <r>
          <rPr>
            <b/>
            <sz val="8"/>
            <color indexed="81"/>
            <rFont val="Tahoma"/>
            <family val="2"/>
          </rPr>
          <t>AOM page 8-7</t>
        </r>
      </text>
    </comment>
    <comment ref="P5" authorId="0">
      <text>
        <r>
          <rPr>
            <b/>
            <sz val="8"/>
            <color indexed="81"/>
            <rFont val="Tahoma"/>
            <family val="2"/>
          </rPr>
          <t>Time from flightplan</t>
        </r>
      </text>
    </comment>
    <comment ref="P8" authorId="0">
      <text>
        <r>
          <rPr>
            <b/>
            <sz val="8"/>
            <color indexed="81"/>
            <rFont val="Tahoma"/>
            <family val="2"/>
          </rPr>
          <t>Time from flightplan</t>
        </r>
      </text>
    </comment>
    <comment ref="C10" authorId="0">
      <text>
        <r>
          <rPr>
            <b/>
            <sz val="9"/>
            <color indexed="81"/>
            <rFont val="Arial"/>
            <family val="2"/>
          </rPr>
          <t>Wind direction</t>
        </r>
      </text>
    </comment>
    <comment ref="D10" authorId="0">
      <text>
        <r>
          <rPr>
            <b/>
            <sz val="9"/>
            <color indexed="81"/>
            <rFont val="Arial"/>
            <family val="2"/>
          </rPr>
          <t>Wind speed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Full tanks = 93 USG
Max with 3 POB = 80 USG</t>
        </r>
      </text>
    </comment>
    <comment ref="H20" authorId="0">
      <text>
        <r>
          <rPr>
            <b/>
            <sz val="8"/>
            <color indexed="81"/>
            <rFont val="Tahoma"/>
            <family val="2"/>
          </rPr>
          <t>No downgrade</t>
        </r>
      </text>
    </comment>
    <comment ref="L20" authorId="0">
      <text>
        <r>
          <rPr>
            <b/>
            <sz val="8"/>
            <color indexed="81"/>
            <rFont val="Tahoma"/>
            <family val="2"/>
          </rPr>
          <t>Not used at preccision approach.
If non-proccesion: Take D(h) and round it up to nearest 100 
Fx Angelholm = 500'</t>
        </r>
      </text>
    </comment>
    <comment ref="M20" authorId="0">
      <text>
        <r>
          <rPr>
            <b/>
            <sz val="8"/>
            <color indexed="81"/>
            <rFont val="Tahoma"/>
            <family val="2"/>
          </rPr>
          <t>1. BL 5-60 tabel 5 (find out the facilities)
2. Precision: tabel 7*
* see pkt. 6.3.5.3 (800 RVR) 
3. Divide RVR with 1.5 to get VIZ</t>
        </r>
      </text>
    </comment>
    <comment ref="H21" authorId="0">
      <text>
        <r>
          <rPr>
            <b/>
            <sz val="8"/>
            <color indexed="81"/>
            <rFont val="Tahoma"/>
            <family val="2"/>
          </rPr>
          <t>Downgrade</t>
        </r>
      </text>
    </comment>
    <comment ref="L21" authorId="0">
      <text>
        <r>
          <rPr>
            <b/>
            <sz val="8"/>
            <color indexed="81"/>
            <rFont val="Tahoma"/>
            <family val="2"/>
          </rPr>
          <t>Not used at preccision approach.
If non-proccesion: Take D(h) and round it up to nearest 100 
Fx Angelholm = 500'</t>
        </r>
      </text>
    </comment>
    <comment ref="M21" authorId="0">
      <text>
        <r>
          <rPr>
            <b/>
            <sz val="8"/>
            <color indexed="81"/>
            <rFont val="Tahoma"/>
            <family val="2"/>
          </rPr>
          <t>1. BL 5-60 tabel 5 (find out the facilities)
2. Non-precision: tabel 6
3. Look at ALT 1 plate under D(h) and see in tabel 6 in wich category it falls. 
Fx D(h): 417'. Tabel 6a RVR = 900
3. Divide RVR with 1.5 to get VIZ</t>
        </r>
      </text>
    </comment>
    <comment ref="H22" authorId="0">
      <text>
        <r>
          <rPr>
            <b/>
            <sz val="8"/>
            <color indexed="81"/>
            <rFont val="Tahoma"/>
            <family val="2"/>
          </rPr>
          <t>Downgrade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>BL 5-60 Tabel 3</t>
        </r>
      </text>
    </comment>
  </commentList>
</comments>
</file>

<file path=xl/sharedStrings.xml><?xml version="1.0" encoding="utf-8"?>
<sst xmlns="http://schemas.openxmlformats.org/spreadsheetml/2006/main" count="296" uniqueCount="192">
  <si>
    <t>PERFORMANCE TABEL</t>
  </si>
  <si>
    <t>Elevation</t>
  </si>
  <si>
    <t>QNH</t>
  </si>
  <si>
    <t>Pressure alt.</t>
  </si>
  <si>
    <t>TAS (kts)</t>
  </si>
  <si>
    <t>RPM</t>
  </si>
  <si>
    <t>Expect RWY</t>
  </si>
  <si>
    <t>HWC</t>
  </si>
  <si>
    <t>Temperature</t>
  </si>
  <si>
    <t>Density alt.</t>
  </si>
  <si>
    <t>XWC max. 13 kts</t>
  </si>
  <si>
    <t>MASS AND BALLANCE</t>
  </si>
  <si>
    <t>MASS</t>
  </si>
  <si>
    <t>ARM</t>
  </si>
  <si>
    <t>BALANCE</t>
  </si>
  <si>
    <t>Empty mass</t>
  </si>
  <si>
    <t>Fuel USG</t>
  </si>
  <si>
    <t>Front seats</t>
  </si>
  <si>
    <t>Rear seats</t>
  </si>
  <si>
    <t>Fuel consumption</t>
  </si>
  <si>
    <t>Zero fuel mass</t>
  </si>
  <si>
    <t>Center/jump seats</t>
  </si>
  <si>
    <t>Forward compartment</t>
  </si>
  <si>
    <t>TOM (MTOM 4200 Lbs)</t>
  </si>
  <si>
    <t>Landing mass MLM 4000 Lbs</t>
  </si>
  <si>
    <t>Aircraft:</t>
  </si>
  <si>
    <t>Mass:</t>
  </si>
  <si>
    <t>Arm:</t>
  </si>
  <si>
    <t>Fuel:</t>
  </si>
  <si>
    <t>OY-BSI</t>
  </si>
  <si>
    <t>OY-JBG</t>
  </si>
  <si>
    <t>Show names</t>
  </si>
  <si>
    <t>Departure</t>
  </si>
  <si>
    <t>Destination</t>
  </si>
  <si>
    <t>TAKE - OFF</t>
  </si>
  <si>
    <t>Take - off distance from AOM (to 50 ft.)</t>
  </si>
  <si>
    <t>Water or slush (max. 2,5 cm)</t>
  </si>
  <si>
    <t xml:space="preserve">20%  pr. cm </t>
  </si>
  <si>
    <t>Wet snow (max. 5 cm)</t>
  </si>
  <si>
    <t xml:space="preserve">10%  pr. cm </t>
  </si>
  <si>
    <t>Dry snow (max. 10 cm)</t>
  </si>
  <si>
    <t xml:space="preserve">5%    pr. cm </t>
  </si>
  <si>
    <t>Runway upslope</t>
  </si>
  <si>
    <t>5%    pr. 1%</t>
  </si>
  <si>
    <t>CORRECTED TAKE - OFF DISTANCE</t>
  </si>
  <si>
    <t>TAKE - OFF DISTANCE AVALIBLE (TODA)</t>
  </si>
  <si>
    <t>Wind / Velocity</t>
  </si>
  <si>
    <t xml:space="preserve">Solid with short grass (5-10 cm)                             </t>
  </si>
  <si>
    <t>TAKE - OFF DISTANCE REQUIRED (TODR)</t>
  </si>
  <si>
    <t>kts</t>
  </si>
  <si>
    <t>Use the greatest of the following:</t>
  </si>
  <si>
    <r>
      <t>New V</t>
    </r>
    <r>
      <rPr>
        <sz val="8"/>
        <color theme="1"/>
        <rFont val="Arial"/>
        <family val="2"/>
      </rPr>
      <t>s1</t>
    </r>
    <r>
      <rPr>
        <sz val="9"/>
        <color theme="1"/>
        <rFont val="Arial"/>
        <family val="2"/>
      </rPr>
      <t xml:space="preserve"> = 66 x √ (TOM / 4200) = </t>
    </r>
  </si>
  <si>
    <r>
      <t>New V</t>
    </r>
    <r>
      <rPr>
        <sz val="8"/>
        <color theme="1"/>
        <rFont val="Arial"/>
        <family val="2"/>
      </rPr>
      <t>mc</t>
    </r>
    <r>
      <rPr>
        <sz val="9"/>
        <color theme="1"/>
        <rFont val="Arial"/>
        <family val="2"/>
      </rPr>
      <t xml:space="preserve"> = 69 x √ (4200/4200) =</t>
    </r>
  </si>
  <si>
    <t>1,5 x (New Vmc / V2)² = 1,5 x (69 / 73,9)² =</t>
  </si>
  <si>
    <t>1,8 x (New Vs1 / V2)² = V2 = 73,9 =</t>
  </si>
  <si>
    <t>Corrected take-off distance x</t>
  </si>
  <si>
    <t>LANDING</t>
  </si>
  <si>
    <t>Landing distance from AOM (to 50 ft)</t>
  </si>
  <si>
    <t>Wet grass (max 20 cm)</t>
  </si>
  <si>
    <t>Dry solid snow or dry ice</t>
  </si>
  <si>
    <t>Wet solid snow or wet ice</t>
  </si>
  <si>
    <t>Runway downslope</t>
  </si>
  <si>
    <t>BRAKING ACTION</t>
  </si>
  <si>
    <t>MAX WXC</t>
  </si>
  <si>
    <t>FACTOR</t>
  </si>
  <si>
    <t>≥ .40</t>
  </si>
  <si>
    <t>.36 - .39</t>
  </si>
  <si>
    <t>.30 - .35</t>
  </si>
  <si>
    <t>.26 - .29</t>
  </si>
  <si>
    <t>≤ .25</t>
  </si>
  <si>
    <t>CORRECTED LANDING DISTANCE</t>
  </si>
  <si>
    <t>LANDING DISTANCE REQUIRED  x 1,43</t>
  </si>
  <si>
    <t>LANDING DISTANCE AVAILABLE (LDA)</t>
  </si>
  <si>
    <t>Flapless landing distance</t>
  </si>
  <si>
    <r>
      <t>V</t>
    </r>
    <r>
      <rPr>
        <sz val="8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correction</t>
    </r>
  </si>
  <si>
    <t>Runway conditions: (Use one group only)</t>
  </si>
  <si>
    <t>13 kts.</t>
  </si>
  <si>
    <t>10 kts.</t>
  </si>
  <si>
    <t>7 kts.</t>
  </si>
  <si>
    <t>4 kts.</t>
  </si>
  <si>
    <t>1 kts.</t>
  </si>
  <si>
    <t>PERFORMANCE</t>
  </si>
  <si>
    <t>SINGLE ENGINE OPERATION</t>
  </si>
  <si>
    <t>Single engine climb performance</t>
  </si>
  <si>
    <t>FT/MIN</t>
  </si>
  <si>
    <t>%</t>
  </si>
  <si>
    <t>If TOM &gt; MLM: Flight time before landing       (15 GL/HR single engine)</t>
  </si>
  <si>
    <t xml:space="preserve">Va (LM) = 126 x √ (LM / 4200) = </t>
  </si>
  <si>
    <t>REMARKS</t>
  </si>
  <si>
    <t>Aerodromes</t>
  </si>
  <si>
    <t>EKRK</t>
  </si>
  <si>
    <t>RWY 11</t>
  </si>
  <si>
    <t>RWY 21</t>
  </si>
  <si>
    <t>RWY 03</t>
  </si>
  <si>
    <t>RWY 29</t>
  </si>
  <si>
    <t>EKOD</t>
  </si>
  <si>
    <t>RWY 06</t>
  </si>
  <si>
    <t>RWY 24</t>
  </si>
  <si>
    <t>ESMS</t>
  </si>
  <si>
    <t>RWY 17</t>
  </si>
  <si>
    <t>RWY 35</t>
  </si>
  <si>
    <t>ESTA</t>
  </si>
  <si>
    <t>RWY 14</t>
  </si>
  <si>
    <t>RWY 32</t>
  </si>
  <si>
    <t>EKAH</t>
  </si>
  <si>
    <t>RWY 10R</t>
  </si>
  <si>
    <t>RWY 28L</t>
  </si>
  <si>
    <t>EKYT</t>
  </si>
  <si>
    <t>RWY 08L</t>
  </si>
  <si>
    <t>RWY 26R</t>
  </si>
  <si>
    <t>EKBI</t>
  </si>
  <si>
    <t>RWY 09</t>
  </si>
  <si>
    <t>RWY 27</t>
  </si>
  <si>
    <t>EKKA</t>
  </si>
  <si>
    <t>RWY 09R</t>
  </si>
  <si>
    <t>RWY 27L</t>
  </si>
  <si>
    <t>EKCH</t>
  </si>
  <si>
    <t>RWY 04L</t>
  </si>
  <si>
    <t>RWY 04R</t>
  </si>
  <si>
    <t>RWY 12</t>
  </si>
  <si>
    <t>RWY 22L</t>
  </si>
  <si>
    <t>RWY 22R</t>
  </si>
  <si>
    <t>RWY 30</t>
  </si>
  <si>
    <t>EKSP</t>
  </si>
  <si>
    <t>RWY 10L</t>
  </si>
  <si>
    <t>RWY 28R</t>
  </si>
  <si>
    <t>Airport</t>
  </si>
  <si>
    <t>Runway</t>
  </si>
  <si>
    <t>Type</t>
  </si>
  <si>
    <t>VV.</t>
  </si>
  <si>
    <t>VIZ</t>
  </si>
  <si>
    <t>ILS</t>
  </si>
  <si>
    <t>-</t>
  </si>
  <si>
    <t>Circling</t>
  </si>
  <si>
    <t>LLZ</t>
  </si>
  <si>
    <t>NDB</t>
  </si>
  <si>
    <t>PLANNING MINIMA</t>
  </si>
  <si>
    <t>RWY</t>
  </si>
  <si>
    <t>TYPE</t>
  </si>
  <si>
    <t>DEST</t>
  </si>
  <si>
    <t>ALT 1</t>
  </si>
  <si>
    <t>ALT 2</t>
  </si>
  <si>
    <t>T/O MINIMA</t>
  </si>
  <si>
    <t>T/O ALTERNATE</t>
  </si>
  <si>
    <t>VV</t>
  </si>
  <si>
    <r>
      <t xml:space="preserve">VIZ / </t>
    </r>
    <r>
      <rPr>
        <b/>
        <sz val="9"/>
        <color theme="1"/>
        <rFont val="Arial"/>
        <family val="2"/>
      </rPr>
      <t>RVR</t>
    </r>
  </si>
  <si>
    <r>
      <t>VIZ/</t>
    </r>
    <r>
      <rPr>
        <b/>
        <sz val="11"/>
        <color theme="1"/>
        <rFont val="Calibri"/>
        <family val="2"/>
        <scheme val="minor"/>
      </rPr>
      <t>RVR</t>
    </r>
  </si>
  <si>
    <t>FUEL</t>
  </si>
  <si>
    <t>Time</t>
  </si>
  <si>
    <t>Gallon</t>
  </si>
  <si>
    <t>Taxi</t>
  </si>
  <si>
    <t>Climb</t>
  </si>
  <si>
    <t>Trip</t>
  </si>
  <si>
    <t>10% cont. Fuel</t>
  </si>
  <si>
    <t>Final reserve</t>
  </si>
  <si>
    <t>Alternate 1</t>
  </si>
  <si>
    <t>Min Block</t>
  </si>
  <si>
    <t>Extra</t>
  </si>
  <si>
    <t>Endurance</t>
  </si>
  <si>
    <t>% PWR</t>
  </si>
  <si>
    <t>GL/HR</t>
  </si>
  <si>
    <t>CONTINGENCY PROCEDURE</t>
  </si>
  <si>
    <t>CTRL + F3</t>
  </si>
  <si>
    <t>T: MIN:SEC</t>
  </si>
  <si>
    <t>Full tank</t>
  </si>
  <si>
    <t>Max 3 pers</t>
  </si>
  <si>
    <t>% PWR:</t>
  </si>
  <si>
    <t>Local</t>
  </si>
  <si>
    <t>1 USG</t>
  </si>
  <si>
    <t>=</t>
  </si>
  <si>
    <t>6 LBS</t>
  </si>
  <si>
    <t>1 KG</t>
  </si>
  <si>
    <t>2,2 LBS</t>
  </si>
  <si>
    <t>1 M</t>
  </si>
  <si>
    <t>3,28 FT</t>
  </si>
  <si>
    <t>XWIND</t>
  </si>
  <si>
    <t>Head Wind</t>
  </si>
  <si>
    <t>Degrees:</t>
  </si>
  <si>
    <t>SIN ≈</t>
  </si>
  <si>
    <t>COS ≈</t>
  </si>
  <si>
    <t>10°</t>
  </si>
  <si>
    <t>20°</t>
  </si>
  <si>
    <t>30°</t>
  </si>
  <si>
    <t>40°</t>
  </si>
  <si>
    <t>50°</t>
  </si>
  <si>
    <t>60°</t>
  </si>
  <si>
    <t>70°</t>
  </si>
  <si>
    <t>80°</t>
  </si>
  <si>
    <t>90°</t>
  </si>
  <si>
    <r>
      <t xml:space="preserve">Aft compartment </t>
    </r>
    <r>
      <rPr>
        <b/>
        <sz val="9"/>
        <color theme="1"/>
        <rFont val="Arial"/>
        <family val="2"/>
      </rPr>
      <t>5+</t>
    </r>
  </si>
  <si>
    <t>C°</t>
  </si>
  <si>
    <t>F°</t>
  </si>
</sst>
</file>

<file path=xl/styles.xml><?xml version="1.0" encoding="utf-8"?>
<styleSheet xmlns="http://schemas.openxmlformats.org/spreadsheetml/2006/main">
  <numFmts count="1">
    <numFmt numFmtId="164" formatCode="0.0"/>
  </numFmts>
  <fonts count="12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CFF8B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74">
    <xf numFmtId="0" fontId="0" fillId="0" borderId="0" xfId="0"/>
    <xf numFmtId="0" fontId="0" fillId="0" borderId="0" xfId="0"/>
    <xf numFmtId="0" fontId="0" fillId="0" borderId="0" xfId="0" applyBorder="1"/>
    <xf numFmtId="0" fontId="2" fillId="0" borderId="0" xfId="0" applyFont="1"/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5" xfId="0" applyFont="1" applyBorder="1" applyAlignment="1"/>
    <xf numFmtId="0" fontId="1" fillId="0" borderId="0" xfId="0" applyFont="1" applyBorder="1" applyAlignment="1"/>
    <xf numFmtId="0" fontId="2" fillId="2" borderId="30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2" fillId="5" borderId="43" xfId="0" applyFont="1" applyFill="1" applyBorder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47" xfId="0" applyFont="1" applyFill="1" applyBorder="1" applyAlignment="1">
      <alignment horizontal="center"/>
    </xf>
    <xf numFmtId="0" fontId="2" fillId="0" borderId="50" xfId="0" applyFont="1" applyBorder="1" applyAlignment="1"/>
    <xf numFmtId="0" fontId="2" fillId="0" borderId="0" xfId="0" applyFont="1" applyBorder="1"/>
    <xf numFmtId="0" fontId="2" fillId="0" borderId="0" xfId="0" applyFont="1" applyBorder="1" applyAlignment="1"/>
    <xf numFmtId="0" fontId="2" fillId="0" borderId="2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2" fillId="0" borderId="56" xfId="0" applyFont="1" applyBorder="1" applyAlignment="1">
      <alignment horizontal="center"/>
    </xf>
    <xf numFmtId="9" fontId="2" fillId="0" borderId="57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9" fontId="2" fillId="0" borderId="20" xfId="0" applyNumberFormat="1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9" fontId="2" fillId="0" borderId="46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6" borderId="44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6" borderId="48" xfId="0" applyFont="1" applyFill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2" fillId="4" borderId="3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 wrapText="1" indent="1"/>
    </xf>
    <xf numFmtId="0" fontId="2" fillId="0" borderId="22" xfId="0" applyFont="1" applyFill="1" applyBorder="1" applyAlignment="1"/>
    <xf numFmtId="0" fontId="0" fillId="0" borderId="22" xfId="0" applyFill="1" applyBorder="1"/>
    <xf numFmtId="0" fontId="2" fillId="4" borderId="3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2" fontId="2" fillId="0" borderId="60" xfId="0" applyNumberFormat="1" applyFont="1" applyFill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2" fontId="2" fillId="0" borderId="0" xfId="0" applyNumberFormat="1" applyFont="1" applyFill="1" applyBorder="1" applyAlignment="1"/>
    <xf numFmtId="2" fontId="2" fillId="4" borderId="35" xfId="0" applyNumberFormat="1" applyFont="1" applyFill="1" applyBorder="1" applyAlignment="1">
      <alignment horizontal="center"/>
    </xf>
    <xf numFmtId="2" fontId="2" fillId="4" borderId="7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2" fillId="2" borderId="35" xfId="0" applyFont="1" applyFill="1" applyBorder="1"/>
    <xf numFmtId="0" fontId="2" fillId="0" borderId="1" xfId="0" applyFont="1" applyBorder="1"/>
    <xf numFmtId="0" fontId="2" fillId="0" borderId="4" xfId="0" applyFont="1" applyBorder="1"/>
    <xf numFmtId="0" fontId="2" fillId="2" borderId="12" xfId="0" applyFont="1" applyFill="1" applyBorder="1"/>
    <xf numFmtId="0" fontId="2" fillId="0" borderId="63" xfId="0" applyFont="1" applyBorder="1" applyAlignment="1">
      <alignment horizontal="center"/>
    </xf>
    <xf numFmtId="0" fontId="2" fillId="2" borderId="64" xfId="0" applyFont="1" applyFill="1" applyBorder="1"/>
    <xf numFmtId="0" fontId="2" fillId="2" borderId="36" xfId="0" applyFont="1" applyFill="1" applyBorder="1"/>
    <xf numFmtId="2" fontId="2" fillId="4" borderId="18" xfId="0" applyNumberFormat="1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/>
    <xf numFmtId="0" fontId="2" fillId="0" borderId="5" xfId="0" applyFont="1" applyBorder="1"/>
    <xf numFmtId="0" fontId="2" fillId="2" borderId="9" xfId="0" applyFont="1" applyFill="1" applyBorder="1"/>
    <xf numFmtId="0" fontId="2" fillId="4" borderId="35" xfId="0" applyFont="1" applyFill="1" applyBorder="1" applyAlignment="1">
      <alignment horizontal="center"/>
    </xf>
    <xf numFmtId="0" fontId="2" fillId="3" borderId="1" xfId="0" applyNumberFormat="1" applyFont="1" applyFill="1" applyBorder="1" applyAlignment="1" applyProtection="1">
      <alignment horizontal="center"/>
      <protection locked="0"/>
    </xf>
    <xf numFmtId="0" fontId="2" fillId="3" borderId="30" xfId="0" applyFont="1" applyFill="1" applyBorder="1" applyAlignment="1" applyProtection="1">
      <alignment horizontal="center"/>
      <protection locked="0"/>
    </xf>
    <xf numFmtId="0" fontId="2" fillId="3" borderId="12" xfId="0" applyFont="1" applyFill="1" applyBorder="1" applyAlignment="1" applyProtection="1">
      <alignment horizontal="center"/>
      <protection locked="0"/>
    </xf>
    <xf numFmtId="0" fontId="2" fillId="3" borderId="20" xfId="0" applyFont="1" applyFill="1" applyBorder="1" applyAlignment="1" applyProtection="1">
      <alignment horizontal="center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164" fontId="2" fillId="3" borderId="12" xfId="0" applyNumberFormat="1" applyFont="1" applyFill="1" applyBorder="1" applyAlignment="1" applyProtection="1">
      <alignment horizontal="center"/>
      <protection locked="0"/>
    </xf>
    <xf numFmtId="164" fontId="2" fillId="3" borderId="1" xfId="0" applyNumberFormat="1" applyFont="1" applyFill="1" applyBorder="1" applyAlignment="1" applyProtection="1">
      <alignment horizontal="center"/>
      <protection locked="0"/>
    </xf>
    <xf numFmtId="164" fontId="2" fillId="3" borderId="3" xfId="0" applyNumberFormat="1" applyFont="1" applyFill="1" applyBorder="1" applyAlignment="1" applyProtection="1">
      <alignment horizontal="center"/>
      <protection locked="0"/>
    </xf>
    <xf numFmtId="164" fontId="2" fillId="3" borderId="4" xfId="0" applyNumberFormat="1" applyFont="1" applyFill="1" applyBorder="1" applyAlignment="1" applyProtection="1">
      <alignment horizontal="center"/>
      <protection locked="0"/>
    </xf>
    <xf numFmtId="2" fontId="2" fillId="3" borderId="2" xfId="0" applyNumberFormat="1" applyFont="1" applyFill="1" applyBorder="1" applyAlignment="1" applyProtection="1">
      <alignment horizontal="center"/>
      <protection locked="0"/>
    </xf>
    <xf numFmtId="2" fontId="2" fillId="3" borderId="1" xfId="0" applyNumberFormat="1" applyFont="1" applyFill="1" applyBorder="1" applyAlignment="1" applyProtection="1">
      <alignment horizontal="center"/>
      <protection locked="0"/>
    </xf>
    <xf numFmtId="2" fontId="2" fillId="3" borderId="4" xfId="0" applyNumberFormat="1" applyFont="1" applyFill="1" applyBorder="1" applyAlignment="1" applyProtection="1">
      <alignment horizontal="center"/>
      <protection locked="0"/>
    </xf>
    <xf numFmtId="0" fontId="0" fillId="3" borderId="36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2" fillId="3" borderId="40" xfId="0" applyFont="1" applyFill="1" applyBorder="1" applyAlignment="1" applyProtection="1">
      <alignment horizontal="center"/>
      <protection locked="0"/>
    </xf>
    <xf numFmtId="0" fontId="2" fillId="3" borderId="47" xfId="0" applyFont="1" applyFill="1" applyBorder="1" applyAlignment="1" applyProtection="1">
      <alignment horizontal="center"/>
      <protection locked="0"/>
    </xf>
    <xf numFmtId="1" fontId="2" fillId="3" borderId="35" xfId="0" applyNumberFormat="1" applyFont="1" applyFill="1" applyBorder="1" applyAlignment="1" applyProtection="1">
      <alignment horizontal="center"/>
      <protection locked="0"/>
    </xf>
    <xf numFmtId="1" fontId="2" fillId="3" borderId="36" xfId="0" applyNumberFormat="1" applyFont="1" applyFill="1" applyBorder="1" applyAlignment="1" applyProtection="1">
      <alignment horizontal="center"/>
      <protection locked="0"/>
    </xf>
    <xf numFmtId="0" fontId="2" fillId="4" borderId="55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54" xfId="0" applyFont="1" applyFill="1" applyBorder="1" applyAlignment="1">
      <alignment horizontal="center"/>
    </xf>
    <xf numFmtId="0" fontId="2" fillId="4" borderId="5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1" fontId="2" fillId="4" borderId="35" xfId="0" applyNumberFormat="1" applyFont="1" applyFill="1" applyBorder="1" applyAlignment="1">
      <alignment horizontal="center"/>
    </xf>
    <xf numFmtId="1" fontId="2" fillId="4" borderId="36" xfId="0" applyNumberFormat="1" applyFont="1" applyFill="1" applyBorder="1" applyAlignment="1">
      <alignment horizontal="center"/>
    </xf>
    <xf numFmtId="0" fontId="2" fillId="0" borderId="55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51" xfId="0" applyFont="1" applyBorder="1"/>
    <xf numFmtId="0" fontId="2" fillId="0" borderId="54" xfId="0" applyFont="1" applyBorder="1"/>
    <xf numFmtId="0" fontId="0" fillId="0" borderId="51" xfId="0" applyBorder="1"/>
    <xf numFmtId="0" fontId="0" fillId="0" borderId="54" xfId="0" applyBorder="1"/>
    <xf numFmtId="0" fontId="0" fillId="0" borderId="53" xfId="0" applyBorder="1"/>
    <xf numFmtId="0" fontId="0" fillId="0" borderId="24" xfId="0" applyBorder="1"/>
    <xf numFmtId="0" fontId="0" fillId="0" borderId="25" xfId="0" applyBorder="1"/>
    <xf numFmtId="0" fontId="0" fillId="4" borderId="34" xfId="0" applyFill="1" applyBorder="1" applyAlignment="1" applyProtection="1">
      <alignment horizontal="center"/>
    </xf>
    <xf numFmtId="0" fontId="0" fillId="4" borderId="2" xfId="0" applyFill="1" applyBorder="1" applyAlignment="1" applyProtection="1">
      <alignment horizontal="center"/>
    </xf>
    <xf numFmtId="0" fontId="0" fillId="4" borderId="6" xfId="0" applyFill="1" applyBorder="1" applyAlignment="1" applyProtection="1">
      <alignment horizontal="center"/>
    </xf>
    <xf numFmtId="0" fontId="0" fillId="0" borderId="0" xfId="0" applyProtection="1"/>
    <xf numFmtId="0" fontId="0" fillId="4" borderId="35" xfId="0" applyFill="1" applyBorder="1" applyAlignment="1" applyProtection="1">
      <alignment horizontal="center"/>
    </xf>
    <xf numFmtId="164" fontId="0" fillId="4" borderId="1" xfId="0" applyNumberFormat="1" applyFill="1" applyBorder="1" applyAlignment="1" applyProtection="1">
      <alignment horizontal="center"/>
    </xf>
    <xf numFmtId="2" fontId="0" fillId="4" borderId="7" xfId="0" applyNumberFormat="1" applyFill="1" applyBorder="1" applyAlignment="1" applyProtection="1">
      <alignment horizontal="center"/>
    </xf>
    <xf numFmtId="1" fontId="0" fillId="4" borderId="35" xfId="0" applyNumberFormat="1" applyFill="1" applyBorder="1" applyAlignment="1" applyProtection="1">
      <alignment horizontal="center"/>
    </xf>
    <xf numFmtId="0" fontId="0" fillId="4" borderId="7" xfId="0" applyFill="1" applyBorder="1" applyAlignment="1" applyProtection="1">
      <alignment horizontal="center"/>
    </xf>
    <xf numFmtId="0" fontId="0" fillId="4" borderId="36" xfId="0" applyFill="1" applyBorder="1" applyAlignment="1" applyProtection="1">
      <alignment horizontal="center"/>
    </xf>
    <xf numFmtId="164" fontId="0" fillId="4" borderId="4" xfId="0" applyNumberFormat="1" applyFill="1" applyBorder="1" applyAlignment="1" applyProtection="1">
      <alignment horizontal="center"/>
    </xf>
    <xf numFmtId="164" fontId="0" fillId="4" borderId="8" xfId="0" applyNumberFormat="1" applyFill="1" applyBorder="1" applyAlignment="1" applyProtection="1">
      <alignment horizontal="center"/>
    </xf>
    <xf numFmtId="0" fontId="0" fillId="4" borderId="66" xfId="0" applyFill="1" applyBorder="1" applyAlignment="1" applyProtection="1">
      <alignment horizontal="center"/>
    </xf>
    <xf numFmtId="0" fontId="0" fillId="4" borderId="67" xfId="0" applyFill="1" applyBorder="1" applyAlignment="1" applyProtection="1">
      <alignment horizontal="center"/>
    </xf>
    <xf numFmtId="0" fontId="0" fillId="4" borderId="8" xfId="0" applyFill="1" applyBorder="1" applyAlignment="1" applyProtection="1">
      <alignment horizontal="center"/>
    </xf>
    <xf numFmtId="0" fontId="7" fillId="0" borderId="0" xfId="0" applyFont="1" applyProtection="1"/>
    <xf numFmtId="0" fontId="8" fillId="0" borderId="0" xfId="0" applyFont="1" applyProtection="1"/>
    <xf numFmtId="0" fontId="7" fillId="0" borderId="0" xfId="0" applyFont="1" applyAlignment="1" applyProtection="1">
      <alignment horizontal="left"/>
    </xf>
    <xf numFmtId="0" fontId="8" fillId="0" borderId="0" xfId="0" applyFont="1" applyAlignment="1" applyProtection="1"/>
    <xf numFmtId="0" fontId="0" fillId="0" borderId="0" xfId="0" applyAlignment="1" applyProtection="1">
      <alignment horizontal="right"/>
    </xf>
    <xf numFmtId="0" fontId="8" fillId="0" borderId="0" xfId="0" applyFont="1" applyAlignment="1" applyProtection="1">
      <alignment horizontal="right"/>
    </xf>
    <xf numFmtId="164" fontId="2" fillId="4" borderId="1" xfId="0" applyNumberFormat="1" applyFont="1" applyFill="1" applyBorder="1" applyAlignment="1" applyProtection="1">
      <alignment horizontal="center"/>
      <protection hidden="1"/>
    </xf>
    <xf numFmtId="2" fontId="3" fillId="4" borderId="1" xfId="0" applyNumberFormat="1" applyFont="1" applyFill="1" applyBorder="1" applyAlignment="1" applyProtection="1">
      <alignment horizontal="center"/>
      <protection hidden="1"/>
    </xf>
    <xf numFmtId="1" fontId="2" fillId="4" borderId="7" xfId="0" applyNumberFormat="1" applyFont="1" applyFill="1" applyBorder="1" applyAlignment="1" applyProtection="1">
      <alignment horizontal="center"/>
      <protection hidden="1"/>
    </xf>
    <xf numFmtId="164" fontId="2" fillId="4" borderId="3" xfId="0" applyNumberFormat="1" applyFont="1" applyFill="1" applyBorder="1" applyAlignment="1" applyProtection="1">
      <alignment horizontal="center"/>
      <protection hidden="1"/>
    </xf>
    <xf numFmtId="1" fontId="2" fillId="4" borderId="10" xfId="0" applyNumberFormat="1" applyFont="1" applyFill="1" applyBorder="1" applyAlignment="1" applyProtection="1">
      <alignment horizontal="center"/>
      <protection hidden="1"/>
    </xf>
    <xf numFmtId="164" fontId="2" fillId="4" borderId="4" xfId="0" applyNumberFormat="1" applyFont="1" applyFill="1" applyBorder="1" applyAlignment="1" applyProtection="1">
      <alignment horizontal="center"/>
      <protection hidden="1"/>
    </xf>
    <xf numFmtId="164" fontId="2" fillId="4" borderId="2" xfId="0" applyNumberFormat="1" applyFont="1" applyFill="1" applyBorder="1" applyAlignment="1" applyProtection="1">
      <alignment horizontal="center"/>
      <protection hidden="1"/>
    </xf>
    <xf numFmtId="1" fontId="2" fillId="4" borderId="6" xfId="0" applyNumberFormat="1" applyFont="1" applyFill="1" applyBorder="1" applyAlignment="1" applyProtection="1">
      <alignment horizontal="center"/>
      <protection hidden="1"/>
    </xf>
    <xf numFmtId="164" fontId="2" fillId="4" borderId="5" xfId="0" applyNumberFormat="1" applyFont="1" applyFill="1" applyBorder="1" applyAlignment="1" applyProtection="1">
      <alignment horizontal="center"/>
      <protection hidden="1"/>
    </xf>
    <xf numFmtId="1" fontId="2" fillId="4" borderId="9" xfId="0" applyNumberFormat="1" applyFont="1" applyFill="1" applyBorder="1" applyAlignment="1" applyProtection="1">
      <alignment horizontal="center"/>
      <protection hidden="1"/>
    </xf>
    <xf numFmtId="1" fontId="2" fillId="4" borderId="8" xfId="0" applyNumberFormat="1" applyFont="1" applyFill="1" applyBorder="1" applyAlignment="1" applyProtection="1">
      <alignment horizontal="center"/>
      <protection hidden="1"/>
    </xf>
    <xf numFmtId="2" fontId="1" fillId="4" borderId="50" xfId="0" applyNumberFormat="1" applyFont="1" applyFill="1" applyBorder="1" applyAlignment="1" applyProtection="1">
      <alignment horizontal="left"/>
      <protection hidden="1"/>
    </xf>
    <xf numFmtId="0" fontId="2" fillId="4" borderId="0" xfId="0" applyFont="1" applyFill="1" applyBorder="1" applyAlignment="1" applyProtection="1">
      <alignment horizontal="left"/>
      <protection hidden="1"/>
    </xf>
    <xf numFmtId="1" fontId="2" fillId="4" borderId="48" xfId="0" applyNumberFormat="1" applyFont="1" applyFill="1" applyBorder="1" applyAlignment="1" applyProtection="1">
      <alignment horizontal="center"/>
      <protection hidden="1"/>
    </xf>
    <xf numFmtId="1" fontId="2" fillId="4" borderId="49" xfId="0" applyNumberFormat="1" applyFont="1" applyFill="1" applyBorder="1" applyAlignment="1" applyProtection="1">
      <alignment horizontal="center"/>
      <protection hidden="1"/>
    </xf>
    <xf numFmtId="0" fontId="2" fillId="4" borderId="52" xfId="0" applyFont="1" applyFill="1" applyBorder="1" applyAlignment="1" applyProtection="1">
      <alignment horizontal="center"/>
      <protection hidden="1"/>
    </xf>
    <xf numFmtId="0" fontId="2" fillId="4" borderId="52" xfId="0" applyFont="1" applyFill="1" applyBorder="1" applyProtection="1">
      <protection hidden="1"/>
    </xf>
    <xf numFmtId="1" fontId="2" fillId="4" borderId="44" xfId="0" applyNumberFormat="1" applyFont="1" applyFill="1" applyBorder="1" applyAlignment="1" applyProtection="1">
      <alignment horizontal="center"/>
      <protection hidden="1"/>
    </xf>
    <xf numFmtId="2" fontId="1" fillId="4" borderId="0" xfId="0" applyNumberFormat="1" applyFont="1" applyFill="1" applyBorder="1" applyAlignment="1" applyProtection="1">
      <alignment horizontal="left"/>
      <protection hidden="1"/>
    </xf>
    <xf numFmtId="0" fontId="1" fillId="4" borderId="0" xfId="0" applyFont="1" applyFill="1" applyBorder="1" applyAlignment="1" applyProtection="1">
      <alignment horizontal="left"/>
      <protection hidden="1"/>
    </xf>
    <xf numFmtId="2" fontId="1" fillId="4" borderId="54" xfId="0" applyNumberFormat="1" applyFont="1" applyFill="1" applyBorder="1" applyAlignment="1" applyProtection="1">
      <alignment horizontal="left"/>
      <protection hidden="1"/>
    </xf>
    <xf numFmtId="1" fontId="2" fillId="4" borderId="47" xfId="0" applyNumberFormat="1" applyFont="1" applyFill="1" applyBorder="1" applyAlignment="1" applyProtection="1">
      <alignment horizontal="center"/>
      <protection hidden="1"/>
    </xf>
    <xf numFmtId="1" fontId="2" fillId="4" borderId="43" xfId="0" applyNumberFormat="1" applyFont="1" applyFill="1" applyBorder="1" applyAlignment="1" applyProtection="1">
      <alignment horizontal="center"/>
      <protection hidden="1"/>
    </xf>
    <xf numFmtId="0" fontId="2" fillId="4" borderId="36" xfId="0" applyFont="1" applyFill="1" applyBorder="1" applyAlignment="1" applyProtection="1">
      <alignment horizontal="center"/>
      <protection hidden="1"/>
    </xf>
    <xf numFmtId="2" fontId="2" fillId="4" borderId="8" xfId="0" applyNumberFormat="1" applyFont="1" applyFill="1" applyBorder="1" applyAlignment="1" applyProtection="1">
      <alignment horizontal="center"/>
      <protection hidden="1"/>
    </xf>
    <xf numFmtId="2" fontId="0" fillId="4" borderId="61" xfId="0" applyNumberFormat="1" applyFill="1" applyBorder="1" applyAlignment="1" applyProtection="1">
      <alignment horizontal="center"/>
      <protection hidden="1"/>
    </xf>
    <xf numFmtId="0" fontId="2" fillId="4" borderId="6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2" fillId="4" borderId="6" xfId="0" applyFont="1" applyFill="1" applyBorder="1" applyAlignment="1" applyProtection="1">
      <alignment horizontal="center"/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4" borderId="7" xfId="0" applyFont="1" applyFill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4" borderId="8" xfId="0" applyFont="1" applyFill="1" applyBorder="1" applyAlignment="1" applyProtection="1">
      <alignment horizontal="center"/>
      <protection hidden="1"/>
    </xf>
    <xf numFmtId="0" fontId="2" fillId="4" borderId="12" xfId="0" applyFont="1" applyFill="1" applyBorder="1" applyAlignment="1" applyProtection="1">
      <alignment horizontal="center"/>
      <protection hidden="1"/>
    </xf>
    <xf numFmtId="2" fontId="2" fillId="4" borderId="18" xfId="0" applyNumberFormat="1" applyFont="1" applyFill="1" applyBorder="1" applyAlignment="1" applyProtection="1">
      <alignment horizontal="center"/>
      <protection hidden="1"/>
    </xf>
    <xf numFmtId="164" fontId="2" fillId="4" borderId="19" xfId="0" applyNumberFormat="1" applyFont="1" applyFill="1" applyBorder="1" applyAlignment="1" applyProtection="1">
      <alignment horizontal="center"/>
      <protection hidden="1"/>
    </xf>
    <xf numFmtId="2" fontId="2" fillId="4" borderId="65" xfId="0" applyNumberFormat="1" applyFont="1" applyFill="1" applyBorder="1" applyAlignment="1" applyProtection="1">
      <alignment horizontal="center"/>
      <protection hidden="1"/>
    </xf>
    <xf numFmtId="2" fontId="2" fillId="4" borderId="19" xfId="0" applyNumberFormat="1" applyFont="1" applyFill="1" applyBorder="1" applyAlignment="1" applyProtection="1">
      <alignment horizontal="center"/>
      <protection hidden="1"/>
    </xf>
    <xf numFmtId="0" fontId="2" fillId="4" borderId="14" xfId="0" applyFont="1" applyFill="1" applyBorder="1" applyAlignment="1" applyProtection="1">
      <alignment horizontal="center"/>
      <protection hidden="1"/>
    </xf>
    <xf numFmtId="1" fontId="2" fillId="4" borderId="12" xfId="0" applyNumberFormat="1" applyFont="1" applyFill="1" applyBorder="1" applyAlignment="1" applyProtection="1">
      <alignment horizontal="center"/>
      <protection hidden="1"/>
    </xf>
    <xf numFmtId="1" fontId="2" fillId="4" borderId="13" xfId="0" applyNumberFormat="1" applyFont="1" applyFill="1" applyBorder="1" applyAlignment="1" applyProtection="1">
      <alignment horizontal="center"/>
      <protection hidden="1"/>
    </xf>
    <xf numFmtId="0" fontId="2" fillId="3" borderId="13" xfId="0" applyFont="1" applyFill="1" applyBorder="1" applyAlignment="1" applyProtection="1">
      <alignment horizontal="center"/>
      <protection locked="0"/>
    </xf>
    <xf numFmtId="0" fontId="0" fillId="4" borderId="71" xfId="0" applyFill="1" applyBorder="1" applyAlignment="1" applyProtection="1">
      <alignment horizontal="center"/>
      <protection hidden="1"/>
    </xf>
    <xf numFmtId="0" fontId="0" fillId="4" borderId="68" xfId="0" applyFill="1" applyBorder="1" applyAlignment="1">
      <alignment horizontal="center"/>
    </xf>
    <xf numFmtId="0" fontId="0" fillId="4" borderId="69" xfId="0" applyFill="1" applyBorder="1" applyAlignment="1">
      <alignment horizontal="center"/>
    </xf>
    <xf numFmtId="0" fontId="11" fillId="3" borderId="70" xfId="0" applyFont="1" applyFill="1" applyBorder="1" applyAlignment="1" applyProtection="1">
      <alignment horizontal="center"/>
      <protection locked="0"/>
    </xf>
    <xf numFmtId="0" fontId="2" fillId="4" borderId="3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2" borderId="21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51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54" xfId="0" applyFont="1" applyBorder="1" applyAlignment="1" applyProtection="1">
      <alignment horizontal="center" vertical="center" wrapText="1"/>
      <protection locked="0"/>
    </xf>
    <xf numFmtId="0" fontId="2" fillId="0" borderId="53" xfId="0" applyFont="1" applyBorder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 wrapText="1"/>
      <protection locked="0"/>
    </xf>
    <xf numFmtId="0" fontId="2" fillId="3" borderId="18" xfId="0" applyFont="1" applyFill="1" applyBorder="1" applyAlignment="1" applyProtection="1">
      <alignment horizontal="center"/>
      <protection locked="0"/>
    </xf>
    <xf numFmtId="0" fontId="2" fillId="3" borderId="29" xfId="0" applyFont="1" applyFill="1" applyBorder="1" applyAlignment="1" applyProtection="1">
      <alignment horizontal="center"/>
      <protection locked="0"/>
    </xf>
    <xf numFmtId="164" fontId="2" fillId="4" borderId="18" xfId="0" applyNumberFormat="1" applyFont="1" applyFill="1" applyBorder="1" applyAlignment="1" applyProtection="1">
      <alignment horizontal="center"/>
      <protection hidden="1"/>
    </xf>
    <xf numFmtId="164" fontId="2" fillId="4" borderId="29" xfId="0" applyNumberFormat="1" applyFont="1" applyFill="1" applyBorder="1" applyAlignment="1" applyProtection="1">
      <alignment horizontal="center"/>
      <protection hidden="1"/>
    </xf>
    <xf numFmtId="164" fontId="2" fillId="4" borderId="19" xfId="0" applyNumberFormat="1" applyFont="1" applyFill="1" applyBorder="1" applyAlignment="1" applyProtection="1">
      <alignment horizontal="center"/>
      <protection hidden="1"/>
    </xf>
    <xf numFmtId="164" fontId="2" fillId="4" borderId="31" xfId="0" applyNumberFormat="1" applyFont="1" applyFill="1" applyBorder="1" applyAlignment="1" applyProtection="1">
      <alignment horizontal="center"/>
      <protection hidden="1"/>
    </xf>
    <xf numFmtId="9" fontId="2" fillId="0" borderId="21" xfId="0" applyNumberFormat="1" applyFont="1" applyBorder="1" applyAlignment="1">
      <alignment horizontal="left" indent="1"/>
    </xf>
    <xf numFmtId="9" fontId="2" fillId="0" borderId="20" xfId="0" applyNumberFormat="1" applyFont="1" applyBorder="1" applyAlignment="1">
      <alignment horizontal="left" indent="1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3" borderId="21" xfId="0" applyFont="1" applyFill="1" applyBorder="1" applyAlignment="1" applyProtection="1">
      <alignment horizontal="center"/>
      <protection locked="0"/>
    </xf>
    <xf numFmtId="0" fontId="2" fillId="3" borderId="20" xfId="0" applyFont="1" applyFill="1" applyBorder="1" applyAlignment="1" applyProtection="1">
      <alignment horizontal="center"/>
      <protection locked="0"/>
    </xf>
    <xf numFmtId="0" fontId="2" fillId="4" borderId="37" xfId="0" applyFont="1" applyFill="1" applyBorder="1" applyAlignment="1">
      <alignment horizontal="center"/>
    </xf>
    <xf numFmtId="0" fontId="2" fillId="4" borderId="38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7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46" xfId="0" applyFont="1" applyBorder="1" applyAlignment="1">
      <alignment horizontal="left"/>
    </xf>
    <xf numFmtId="9" fontId="2" fillId="0" borderId="41" xfId="0" applyNumberFormat="1" applyFont="1" applyBorder="1" applyAlignment="1">
      <alignment horizontal="left" indent="1"/>
    </xf>
    <xf numFmtId="9" fontId="2" fillId="0" borderId="42" xfId="0" applyNumberFormat="1" applyFont="1" applyBorder="1" applyAlignment="1">
      <alignment horizontal="left" indent="1"/>
    </xf>
    <xf numFmtId="0" fontId="2" fillId="0" borderId="40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55" xfId="0" applyFont="1" applyBorder="1" applyAlignment="1">
      <alignment horizontal="left" vertical="center" wrapText="1" indent="1"/>
    </xf>
    <xf numFmtId="0" fontId="2" fillId="0" borderId="22" xfId="0" applyFont="1" applyBorder="1" applyAlignment="1">
      <alignment horizontal="left" vertical="center" wrapText="1" indent="1"/>
    </xf>
    <xf numFmtId="0" fontId="2" fillId="0" borderId="23" xfId="0" applyFont="1" applyBorder="1" applyAlignment="1">
      <alignment horizontal="left" vertical="center" wrapText="1" indent="1"/>
    </xf>
    <xf numFmtId="0" fontId="2" fillId="0" borderId="53" xfId="0" applyFont="1" applyBorder="1" applyAlignment="1">
      <alignment horizontal="left" vertical="center" wrapText="1" indent="1"/>
    </xf>
    <xf numFmtId="0" fontId="2" fillId="0" borderId="24" xfId="0" applyFont="1" applyBorder="1" applyAlignment="1">
      <alignment horizontal="left" vertical="center" wrapText="1" indent="1"/>
    </xf>
    <xf numFmtId="0" fontId="2" fillId="0" borderId="25" xfId="0" applyFont="1" applyBorder="1" applyAlignment="1">
      <alignment horizontal="left" vertical="center" wrapText="1" indent="1"/>
    </xf>
    <xf numFmtId="46" fontId="2" fillId="4" borderId="58" xfId="0" applyNumberFormat="1" applyFont="1" applyFill="1" applyBorder="1" applyAlignment="1" applyProtection="1">
      <alignment horizontal="center"/>
      <protection hidden="1"/>
    </xf>
    <xf numFmtId="46" fontId="2" fillId="4" borderId="38" xfId="0" applyNumberFormat="1" applyFont="1" applyFill="1" applyBorder="1" applyAlignment="1" applyProtection="1">
      <alignment horizontal="center"/>
      <protection hidden="1"/>
    </xf>
    <xf numFmtId="46" fontId="2" fillId="4" borderId="39" xfId="0" applyNumberFormat="1" applyFont="1" applyFill="1" applyBorder="1" applyAlignment="1" applyProtection="1">
      <alignment horizontal="center"/>
      <protection hidden="1"/>
    </xf>
    <xf numFmtId="0" fontId="2" fillId="0" borderId="38" xfId="0" applyFont="1" applyBorder="1" applyAlignment="1">
      <alignment horizontal="center"/>
    </xf>
    <xf numFmtId="0" fontId="2" fillId="4" borderId="18" xfId="0" applyFont="1" applyFill="1" applyBorder="1" applyAlignment="1" applyProtection="1">
      <alignment horizontal="center"/>
      <protection hidden="1"/>
    </xf>
    <xf numFmtId="0" fontId="2" fillId="4" borderId="29" xfId="0" applyFont="1" applyFill="1" applyBorder="1" applyAlignment="1" applyProtection="1">
      <alignment horizontal="center"/>
      <protection hidden="1"/>
    </xf>
    <xf numFmtId="0" fontId="2" fillId="4" borderId="21" xfId="0" applyFont="1" applyFill="1" applyBorder="1" applyAlignment="1" applyProtection="1">
      <alignment horizontal="center"/>
      <protection hidden="1"/>
    </xf>
    <xf numFmtId="0" fontId="2" fillId="4" borderId="20" xfId="0" applyFont="1" applyFill="1" applyBorder="1" applyAlignment="1" applyProtection="1">
      <alignment horizontal="center"/>
      <protection hidden="1"/>
    </xf>
    <xf numFmtId="164" fontId="2" fillId="4" borderId="21" xfId="0" applyNumberFormat="1" applyFont="1" applyFill="1" applyBorder="1" applyAlignment="1" applyProtection="1">
      <alignment horizontal="center"/>
      <protection hidden="1"/>
    </xf>
    <xf numFmtId="164" fontId="2" fillId="4" borderId="20" xfId="0" applyNumberFormat="1" applyFont="1" applyFill="1" applyBorder="1" applyAlignment="1" applyProtection="1">
      <alignment horizontal="center"/>
      <protection hidden="1"/>
    </xf>
    <xf numFmtId="164" fontId="2" fillId="4" borderId="24" xfId="0" applyNumberFormat="1" applyFont="1" applyFill="1" applyBorder="1" applyAlignment="1" applyProtection="1">
      <alignment horizontal="center"/>
      <protection hidden="1"/>
    </xf>
    <xf numFmtId="164" fontId="2" fillId="4" borderId="25" xfId="0" applyNumberFormat="1" applyFont="1" applyFill="1" applyBorder="1" applyAlignment="1" applyProtection="1">
      <alignment horizontal="center"/>
      <protection hidden="1"/>
    </xf>
    <xf numFmtId="0" fontId="2" fillId="0" borderId="5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9" fontId="2" fillId="0" borderId="0" xfId="0" applyNumberFormat="1" applyFont="1" applyBorder="1" applyAlignment="1">
      <alignment horizontal="left" indent="1"/>
    </xf>
    <xf numFmtId="9" fontId="2" fillId="0" borderId="54" xfId="0" applyNumberFormat="1" applyFont="1" applyBorder="1" applyAlignment="1">
      <alignment horizontal="left" indent="1"/>
    </xf>
    <xf numFmtId="9" fontId="2" fillId="0" borderId="24" xfId="0" applyNumberFormat="1" applyFont="1" applyBorder="1" applyAlignment="1">
      <alignment horizontal="left" indent="1"/>
    </xf>
    <xf numFmtId="9" fontId="2" fillId="0" borderId="25" xfId="0" applyNumberFormat="1" applyFont="1" applyBorder="1" applyAlignment="1">
      <alignment horizontal="left" indent="1"/>
    </xf>
    <xf numFmtId="0" fontId="2" fillId="0" borderId="15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5" fillId="0" borderId="22" xfId="0" applyFont="1" applyBorder="1"/>
    <xf numFmtId="0" fontId="2" fillId="0" borderId="26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50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9" fontId="2" fillId="0" borderId="45" xfId="0" applyNumberFormat="1" applyFont="1" applyBorder="1" applyAlignment="1">
      <alignment horizontal="left" indent="1"/>
    </xf>
    <xf numFmtId="9" fontId="2" fillId="0" borderId="46" xfId="0" applyNumberFormat="1" applyFont="1" applyBorder="1" applyAlignment="1">
      <alignment horizontal="left" indent="1"/>
    </xf>
    <xf numFmtId="0" fontId="1" fillId="0" borderId="53" xfId="0" applyFont="1" applyBorder="1" applyAlignment="1">
      <alignment horizontal="left"/>
    </xf>
    <xf numFmtId="0" fontId="1" fillId="0" borderId="24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/>
    </xf>
    <xf numFmtId="0" fontId="2" fillId="0" borderId="59" xfId="0" applyFont="1" applyFill="1" applyBorder="1" applyAlignment="1">
      <alignment horizontal="center"/>
    </xf>
    <xf numFmtId="2" fontId="2" fillId="4" borderId="34" xfId="0" applyNumberFormat="1" applyFont="1" applyFill="1" applyBorder="1" applyAlignment="1">
      <alignment horizontal="center"/>
    </xf>
    <xf numFmtId="2" fontId="2" fillId="4" borderId="6" xfId="0" applyNumberFormat="1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37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7" fillId="0" borderId="0" xfId="0" applyFont="1" applyAlignment="1" applyProtection="1">
      <alignment horizontal="center"/>
    </xf>
  </cellXfs>
  <cellStyles count="1">
    <cellStyle name="Normal" xfId="0" builtinId="0"/>
  </cellStyles>
  <dxfs count="3"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CFF8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14738</xdr:colOff>
      <xdr:row>28</xdr:row>
      <xdr:rowOff>189999</xdr:rowOff>
    </xdr:from>
    <xdr:to>
      <xdr:col>18</xdr:col>
      <xdr:colOff>872517</xdr:colOff>
      <xdr:row>62</xdr:row>
      <xdr:rowOff>152401</xdr:rowOff>
    </xdr:to>
    <xdr:pic>
      <xdr:nvPicPr>
        <xdr:cNvPr id="2" name="Billede 1" descr="WB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8063" y="5523999"/>
          <a:ext cx="4743979" cy="6439402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590550</xdr:colOff>
      <xdr:row>38</xdr:row>
      <xdr:rowOff>189779</xdr:rowOff>
    </xdr:to>
    <xdr:pic>
      <xdr:nvPicPr>
        <xdr:cNvPr id="2" name="Billede 1" descr="T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7350" cy="743830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40</xdr:row>
      <xdr:rowOff>28574</xdr:rowOff>
    </xdr:from>
    <xdr:to>
      <xdr:col>8</xdr:col>
      <xdr:colOff>590550</xdr:colOff>
      <xdr:row>75</xdr:row>
      <xdr:rowOff>79054</xdr:rowOff>
    </xdr:to>
    <xdr:pic>
      <xdr:nvPicPr>
        <xdr:cNvPr id="3" name="Billede 2" descr="Climb performanc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48574"/>
          <a:ext cx="5467350" cy="67179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8</xdr:col>
      <xdr:colOff>600074</xdr:colOff>
      <xdr:row>112</xdr:row>
      <xdr:rowOff>174150</xdr:rowOff>
    </xdr:to>
    <xdr:pic>
      <xdr:nvPicPr>
        <xdr:cNvPr id="4" name="Billede 3" descr="Landing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87550"/>
          <a:ext cx="5476874" cy="6822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T64"/>
  <sheetViews>
    <sheetView showGridLines="0" tabSelected="1" workbookViewId="0">
      <selection activeCell="C20" sqref="C20"/>
    </sheetView>
  </sheetViews>
  <sheetFormatPr defaultRowHeight="15"/>
  <cols>
    <col min="1" max="1" width="11.85546875" customWidth="1"/>
    <col min="2" max="2" width="13.85546875" customWidth="1"/>
    <col min="3" max="3" width="9" customWidth="1"/>
    <col min="4" max="4" width="7" bestFit="1" customWidth="1"/>
    <col min="5" max="5" width="9" customWidth="1"/>
    <col min="6" max="6" width="7" customWidth="1"/>
    <col min="8" max="8" width="9.85546875" bestFit="1" customWidth="1"/>
    <col min="17" max="17" width="12.5703125" bestFit="1" customWidth="1"/>
    <col min="19" max="19" width="13.28515625" bestFit="1" customWidth="1"/>
  </cols>
  <sheetData>
    <row r="1" spans="1:20" ht="15" customHeight="1" thickBot="1">
      <c r="A1" s="173" t="s">
        <v>0</v>
      </c>
      <c r="B1" s="173"/>
      <c r="C1" s="173"/>
      <c r="D1" s="173"/>
      <c r="E1" s="173"/>
      <c r="F1" s="173"/>
      <c r="G1" s="8"/>
      <c r="H1" s="173" t="s">
        <v>82</v>
      </c>
      <c r="I1" s="173"/>
      <c r="J1" s="173"/>
      <c r="K1" s="173"/>
      <c r="L1" s="1"/>
      <c r="P1" s="173" t="s">
        <v>147</v>
      </c>
      <c r="Q1" s="173"/>
      <c r="R1" s="173"/>
      <c r="S1" s="3"/>
    </row>
    <row r="2" spans="1:20" ht="15" customHeight="1" thickTop="1">
      <c r="A2" s="215"/>
      <c r="B2" s="272"/>
      <c r="C2" s="267" t="s">
        <v>32</v>
      </c>
      <c r="D2" s="268"/>
      <c r="E2" s="191" t="s">
        <v>33</v>
      </c>
      <c r="F2" s="192"/>
      <c r="G2" s="2"/>
      <c r="H2" s="215" t="s">
        <v>83</v>
      </c>
      <c r="I2" s="216"/>
      <c r="J2" s="216"/>
      <c r="K2" s="217"/>
      <c r="L2" s="1"/>
      <c r="O2" s="52" t="s">
        <v>159</v>
      </c>
      <c r="P2" s="19" t="s">
        <v>148</v>
      </c>
      <c r="Q2" s="4"/>
      <c r="R2" s="18" t="s">
        <v>149</v>
      </c>
      <c r="S2" s="5" t="s">
        <v>160</v>
      </c>
    </row>
    <row r="3" spans="1:20" ht="15" customHeight="1" thickBot="1">
      <c r="A3" s="169" t="s">
        <v>1</v>
      </c>
      <c r="B3" s="170"/>
      <c r="C3" s="183">
        <v>146</v>
      </c>
      <c r="D3" s="184"/>
      <c r="E3" s="193">
        <v>146</v>
      </c>
      <c r="F3" s="194"/>
      <c r="H3" s="144" t="s">
        <v>84</v>
      </c>
      <c r="I3" s="65">
        <v>225</v>
      </c>
      <c r="J3" s="33" t="s">
        <v>85</v>
      </c>
      <c r="K3" s="145">
        <f>I3/92</f>
        <v>2.4456521739130435</v>
      </c>
      <c r="L3" s="3"/>
      <c r="M3" s="3"/>
      <c r="N3" s="3"/>
      <c r="O3" s="53"/>
      <c r="P3" s="51"/>
      <c r="Q3" s="49" t="s">
        <v>150</v>
      </c>
      <c r="R3" s="55">
        <v>2</v>
      </c>
      <c r="S3" s="56"/>
      <c r="T3" s="3"/>
    </row>
    <row r="4" spans="1:20" ht="15" customHeight="1" thickTop="1" thickBot="1">
      <c r="A4" s="169" t="s">
        <v>2</v>
      </c>
      <c r="B4" s="170"/>
      <c r="C4" s="183">
        <v>1020</v>
      </c>
      <c r="D4" s="184"/>
      <c r="E4" s="193">
        <v>1020</v>
      </c>
      <c r="F4" s="194"/>
      <c r="H4" s="227"/>
      <c r="I4" s="227"/>
      <c r="J4" s="227"/>
      <c r="K4" s="227"/>
      <c r="L4" s="3"/>
      <c r="M4" s="3"/>
      <c r="N4" s="3"/>
      <c r="O4" s="48"/>
      <c r="P4" s="63">
        <v>2</v>
      </c>
      <c r="Q4" s="49" t="s">
        <v>151</v>
      </c>
      <c r="R4" s="155">
        <f>S4/60*P4</f>
        <v>0.9</v>
      </c>
      <c r="S4" s="151">
        <v>27</v>
      </c>
      <c r="T4" s="3"/>
    </row>
    <row r="5" spans="1:20" ht="15" customHeight="1" thickTop="1">
      <c r="A5" s="169" t="s">
        <v>3</v>
      </c>
      <c r="B5" s="170"/>
      <c r="C5" s="228">
        <f>(1013-C4)*30+C3</f>
        <v>-64</v>
      </c>
      <c r="D5" s="229"/>
      <c r="E5" s="230">
        <f>(1013-E4)*30+E3</f>
        <v>-64</v>
      </c>
      <c r="F5" s="231"/>
      <c r="H5" s="218" t="s">
        <v>86</v>
      </c>
      <c r="I5" s="219"/>
      <c r="J5" s="219"/>
      <c r="K5" s="220"/>
      <c r="L5" s="3"/>
      <c r="M5" s="3"/>
      <c r="N5" s="3"/>
      <c r="O5" s="77" t="s">
        <v>167</v>
      </c>
      <c r="P5" s="63">
        <v>90</v>
      </c>
      <c r="Q5" s="49" t="s">
        <v>152</v>
      </c>
      <c r="R5" s="155">
        <f>SUM(S5/60)*P5</f>
        <v>33</v>
      </c>
      <c r="S5" s="151">
        <f>VLOOKUP(O5,GLHR,2,0)</f>
        <v>22</v>
      </c>
      <c r="T5" s="3"/>
    </row>
    <row r="6" spans="1:20" s="1" customFormat="1" ht="15" customHeight="1" thickBot="1">
      <c r="A6" s="169" t="s">
        <v>8</v>
      </c>
      <c r="B6" s="170"/>
      <c r="C6" s="183">
        <v>0</v>
      </c>
      <c r="D6" s="184"/>
      <c r="E6" s="193">
        <v>0</v>
      </c>
      <c r="F6" s="194"/>
      <c r="H6" s="221"/>
      <c r="I6" s="222"/>
      <c r="J6" s="222"/>
      <c r="K6" s="223"/>
      <c r="L6" s="3"/>
      <c r="M6" s="3"/>
      <c r="N6" s="3"/>
      <c r="O6" s="77" t="s">
        <v>167</v>
      </c>
      <c r="P6" s="154">
        <f>P5*10%</f>
        <v>9</v>
      </c>
      <c r="Q6" s="49" t="s">
        <v>153</v>
      </c>
      <c r="R6" s="155">
        <f>SUM(S6/60)*P6</f>
        <v>3.3</v>
      </c>
      <c r="S6" s="151">
        <f>VLOOKUP(O6,GLHR,2,0)</f>
        <v>22</v>
      </c>
      <c r="T6" s="3"/>
    </row>
    <row r="7" spans="1:20" s="1" customFormat="1" ht="15" customHeight="1" thickTop="1" thickBot="1">
      <c r="A7" s="169" t="s">
        <v>9</v>
      </c>
      <c r="B7" s="170"/>
      <c r="C7" s="228">
        <f>C5+(C6-15)*120</f>
        <v>-1864</v>
      </c>
      <c r="D7" s="229"/>
      <c r="E7" s="230">
        <f>E5+(E6-15)*120</f>
        <v>-1864</v>
      </c>
      <c r="F7" s="231"/>
      <c r="H7" s="37" t="s">
        <v>163</v>
      </c>
      <c r="I7" s="224">
        <f>IF(C24&gt;4000,((C24-4000)-12)/90/24,0)</f>
        <v>0</v>
      </c>
      <c r="J7" s="225"/>
      <c r="K7" s="226"/>
      <c r="L7" s="3"/>
      <c r="M7" s="3"/>
      <c r="N7" s="3"/>
      <c r="O7" s="77">
        <v>55</v>
      </c>
      <c r="P7" s="154">
        <v>45</v>
      </c>
      <c r="Q7" s="49" t="s">
        <v>154</v>
      </c>
      <c r="R7" s="155">
        <f>SUM(S7/60)*P7</f>
        <v>14.25</v>
      </c>
      <c r="S7" s="151">
        <f>VLOOKUP(O7,GLHR,2,0)</f>
        <v>19</v>
      </c>
      <c r="T7" s="3"/>
    </row>
    <row r="8" spans="1:20" ht="15" customHeight="1" thickTop="1" thickBot="1">
      <c r="A8" s="169" t="s">
        <v>4</v>
      </c>
      <c r="B8" s="170"/>
      <c r="C8" s="6"/>
      <c r="D8" s="9"/>
      <c r="E8" s="171"/>
      <c r="F8" s="172"/>
      <c r="H8" s="3"/>
      <c r="I8" s="3"/>
      <c r="J8" s="3"/>
      <c r="K8" s="3"/>
      <c r="L8" s="3"/>
      <c r="M8" s="3"/>
      <c r="N8" s="3"/>
      <c r="O8" s="78" t="s">
        <v>167</v>
      </c>
      <c r="P8" s="162">
        <v>24</v>
      </c>
      <c r="Q8" s="50" t="s">
        <v>155</v>
      </c>
      <c r="R8" s="156">
        <f>SUM(S8/60)*P8</f>
        <v>8.7999999999999989</v>
      </c>
      <c r="S8" s="151">
        <f>VLOOKUP(O8,GLHR,2,0)</f>
        <v>22</v>
      </c>
      <c r="T8" s="3"/>
    </row>
    <row r="9" spans="1:20" ht="15" customHeight="1" thickTop="1" thickBot="1">
      <c r="A9" s="169" t="s">
        <v>5</v>
      </c>
      <c r="B9" s="170"/>
      <c r="C9" s="6"/>
      <c r="D9" s="9"/>
      <c r="E9" s="171"/>
      <c r="F9" s="172"/>
      <c r="H9" s="197" t="s">
        <v>88</v>
      </c>
      <c r="I9" s="197"/>
      <c r="J9" s="197"/>
      <c r="K9" s="197"/>
      <c r="L9" s="3"/>
      <c r="M9" s="3"/>
      <c r="N9" s="3"/>
      <c r="O9" s="53"/>
      <c r="P9" s="159">
        <f>SUM(P4:P8)</f>
        <v>170</v>
      </c>
      <c r="Q9" s="58" t="s">
        <v>156</v>
      </c>
      <c r="R9" s="157">
        <f>SUM(R3:R8)</f>
        <v>62.249999999999993</v>
      </c>
      <c r="S9" s="59"/>
      <c r="T9" s="3"/>
    </row>
    <row r="10" spans="1:20" ht="15" customHeight="1" thickTop="1">
      <c r="A10" s="169" t="s">
        <v>46</v>
      </c>
      <c r="B10" s="170"/>
      <c r="C10" s="61">
        <v>90</v>
      </c>
      <c r="D10" s="62">
        <v>10</v>
      </c>
      <c r="E10" s="63">
        <v>90</v>
      </c>
      <c r="F10" s="64">
        <v>10</v>
      </c>
      <c r="H10" s="174"/>
      <c r="I10" s="175"/>
      <c r="J10" s="175"/>
      <c r="K10" s="176"/>
      <c r="L10" s="3"/>
      <c r="M10" s="3"/>
      <c r="N10" s="3"/>
      <c r="O10" s="77">
        <v>55</v>
      </c>
      <c r="P10" s="160">
        <f>(R10/S10)*60</f>
        <v>97.105263157894768</v>
      </c>
      <c r="Q10" s="49" t="s">
        <v>157</v>
      </c>
      <c r="R10" s="155">
        <f>SUM(B18-R9)</f>
        <v>30.750000000000007</v>
      </c>
      <c r="S10" s="151">
        <f>VLOOKUP(O10,GLHR,2,0)</f>
        <v>19</v>
      </c>
      <c r="T10" s="3"/>
    </row>
    <row r="11" spans="1:20" ht="15" customHeight="1" thickBot="1">
      <c r="A11" s="169" t="s">
        <v>6</v>
      </c>
      <c r="B11" s="170"/>
      <c r="C11" s="183">
        <v>11</v>
      </c>
      <c r="D11" s="184"/>
      <c r="E11" s="193">
        <v>11</v>
      </c>
      <c r="F11" s="194"/>
      <c r="H11" s="177"/>
      <c r="I11" s="178"/>
      <c r="J11" s="178"/>
      <c r="K11" s="179"/>
      <c r="L11" s="3"/>
      <c r="M11" s="3"/>
      <c r="N11" s="3"/>
      <c r="O11" s="54"/>
      <c r="P11" s="161">
        <f>SUM(P9:P10)</f>
        <v>267.1052631578948</v>
      </c>
      <c r="Q11" s="50" t="s">
        <v>158</v>
      </c>
      <c r="R11" s="158">
        <f>R9+R10</f>
        <v>93</v>
      </c>
      <c r="S11" s="57"/>
      <c r="T11" s="3"/>
    </row>
    <row r="12" spans="1:20" ht="15" customHeight="1" thickTop="1">
      <c r="A12" s="169" t="s">
        <v>10</v>
      </c>
      <c r="B12" s="170"/>
      <c r="C12" s="185">
        <f>SIN(RADIANS(ABS(C10-C11*10)))*D10</f>
        <v>3.420201433256687</v>
      </c>
      <c r="D12" s="186"/>
      <c r="E12" s="232">
        <f>SIN(RADIANS(ABS(E10-E11*10)))*F10</f>
        <v>3.420201433256687</v>
      </c>
      <c r="F12" s="233"/>
      <c r="H12" s="177"/>
      <c r="I12" s="178"/>
      <c r="J12" s="178"/>
      <c r="K12" s="179"/>
      <c r="L12" s="3"/>
      <c r="M12" s="3"/>
      <c r="N12" s="3"/>
      <c r="O12" s="3"/>
      <c r="P12" s="3"/>
      <c r="Q12" s="3"/>
      <c r="R12" s="3"/>
      <c r="S12" s="3"/>
      <c r="T12" s="3"/>
    </row>
    <row r="13" spans="1:20" ht="15" customHeight="1" thickBot="1">
      <c r="A13" s="203" t="s">
        <v>7</v>
      </c>
      <c r="B13" s="209"/>
      <c r="C13" s="187">
        <f>COS(RADIANS(ABS(C10-C11*10)))*D10</f>
        <v>9.3969262078590852</v>
      </c>
      <c r="D13" s="188"/>
      <c r="E13" s="234">
        <f>COS(RADIANS(ABS(E10-E11*10)))*F10</f>
        <v>9.3969262078590852</v>
      </c>
      <c r="F13" s="235"/>
      <c r="H13" s="180"/>
      <c r="I13" s="181"/>
      <c r="J13" s="181"/>
      <c r="K13" s="182"/>
      <c r="L13" s="3"/>
      <c r="M13" s="3"/>
      <c r="N13" s="3"/>
      <c r="O13" s="3"/>
      <c r="P13" s="3"/>
      <c r="Q13" s="3"/>
      <c r="R13" s="3"/>
      <c r="S13" s="3"/>
      <c r="T13" s="3"/>
    </row>
    <row r="14" spans="1:20" ht="15" customHeight="1" thickTop="1">
      <c r="H14" s="17"/>
      <c r="I14" s="17"/>
      <c r="J14" s="17"/>
      <c r="K14" s="17"/>
      <c r="L14" s="3"/>
      <c r="M14" s="3"/>
      <c r="N14" s="3"/>
      <c r="O14" s="3"/>
      <c r="P14" s="3"/>
      <c r="Q14" s="3"/>
      <c r="R14" s="3"/>
      <c r="S14" s="3"/>
      <c r="T14" s="3"/>
    </row>
    <row r="15" spans="1:20" ht="15" customHeight="1" thickBot="1">
      <c r="A15" s="173" t="s">
        <v>11</v>
      </c>
      <c r="B15" s="173"/>
      <c r="C15" s="173"/>
      <c r="D15" s="173"/>
      <c r="E15" s="173"/>
      <c r="F15" s="3"/>
      <c r="H15" s="173" t="s">
        <v>81</v>
      </c>
      <c r="I15" s="173"/>
      <c r="J15" s="173"/>
      <c r="K15" s="173"/>
      <c r="L15" s="3"/>
      <c r="M15" s="3"/>
      <c r="N15" s="3"/>
      <c r="O15" s="173" t="s">
        <v>161</v>
      </c>
      <c r="P15" s="173"/>
      <c r="Q15" s="173"/>
      <c r="R15" s="173"/>
      <c r="S15" s="173"/>
      <c r="T15" s="3"/>
    </row>
    <row r="16" spans="1:20" ht="15" customHeight="1" thickTop="1" thickBot="1">
      <c r="A16" s="198"/>
      <c r="B16" s="212"/>
      <c r="C16" s="4" t="s">
        <v>12</v>
      </c>
      <c r="D16" s="4" t="s">
        <v>13</v>
      </c>
      <c r="E16" s="5" t="s">
        <v>14</v>
      </c>
      <c r="F16" s="3"/>
      <c r="H16" s="195" t="s">
        <v>87</v>
      </c>
      <c r="I16" s="196"/>
      <c r="J16" s="196"/>
      <c r="K16" s="146">
        <f>120*SQRT(C26/4200)</f>
        <v>112.56693247003884</v>
      </c>
      <c r="L16" s="3"/>
      <c r="M16" s="3"/>
      <c r="N16" s="3"/>
      <c r="O16" s="174"/>
      <c r="P16" s="175"/>
      <c r="Q16" s="175"/>
      <c r="R16" s="175"/>
      <c r="S16" s="176"/>
      <c r="T16" s="3"/>
    </row>
    <row r="17" spans="1:20" ht="15" customHeight="1" thickTop="1">
      <c r="A17" s="7" t="s">
        <v>15</v>
      </c>
      <c r="B17" s="63" t="s">
        <v>29</v>
      </c>
      <c r="C17" s="121">
        <f>VLOOKUP(B17,AircraftData,2,0)</f>
        <v>2934.2</v>
      </c>
      <c r="D17" s="122">
        <f>VLOOKUP(B17,AircraftData,3,0)</f>
        <v>87.14</v>
      </c>
      <c r="E17" s="123">
        <f>(C17*D17)</f>
        <v>255686.18799999999</v>
      </c>
      <c r="F17" s="3"/>
      <c r="H17" s="35"/>
      <c r="I17" s="35"/>
      <c r="J17" s="35"/>
      <c r="K17" s="36"/>
      <c r="L17" s="3"/>
      <c r="M17" s="3"/>
      <c r="N17" s="3"/>
      <c r="O17" s="177"/>
      <c r="P17" s="178"/>
      <c r="Q17" s="178"/>
      <c r="R17" s="178"/>
      <c r="S17" s="179"/>
      <c r="T17" s="3"/>
    </row>
    <row r="18" spans="1:20" ht="15" customHeight="1" thickBot="1">
      <c r="A18" s="7" t="s">
        <v>16</v>
      </c>
      <c r="B18" s="66">
        <v>93</v>
      </c>
      <c r="C18" s="121">
        <f>B18*6</f>
        <v>558</v>
      </c>
      <c r="D18" s="121">
        <v>93.6</v>
      </c>
      <c r="E18" s="123">
        <f>ROUNDUP(C18*D18,)</f>
        <v>52229</v>
      </c>
      <c r="F18" s="3"/>
      <c r="H18" s="262" t="s">
        <v>136</v>
      </c>
      <c r="I18" s="262"/>
      <c r="J18" s="262"/>
      <c r="K18" s="262"/>
      <c r="L18" s="262"/>
      <c r="M18" s="262"/>
      <c r="N18" s="3"/>
      <c r="O18" s="177"/>
      <c r="P18" s="178"/>
      <c r="Q18" s="178"/>
      <c r="R18" s="178"/>
      <c r="S18" s="179"/>
      <c r="T18" s="3"/>
    </row>
    <row r="19" spans="1:20" ht="15" customHeight="1" thickTop="1" thickBot="1">
      <c r="A19" s="169" t="s">
        <v>17</v>
      </c>
      <c r="B19" s="170"/>
      <c r="C19" s="67">
        <v>374</v>
      </c>
      <c r="D19" s="121">
        <v>85.5</v>
      </c>
      <c r="E19" s="123">
        <f t="shared" ref="E19:E23" si="0">C19*D19</f>
        <v>31977</v>
      </c>
      <c r="F19" s="3"/>
      <c r="H19" s="263"/>
      <c r="I19" s="264"/>
      <c r="J19" s="39" t="s">
        <v>137</v>
      </c>
      <c r="K19" s="40" t="s">
        <v>138</v>
      </c>
      <c r="L19" s="40" t="s">
        <v>129</v>
      </c>
      <c r="M19" s="41" t="s">
        <v>130</v>
      </c>
      <c r="N19" s="3"/>
      <c r="O19" s="177"/>
      <c r="P19" s="178"/>
      <c r="Q19" s="178"/>
      <c r="R19" s="178"/>
      <c r="S19" s="179"/>
      <c r="T19" s="3"/>
    </row>
    <row r="20" spans="1:20" s="1" customFormat="1" ht="15" customHeight="1" thickTop="1">
      <c r="A20" s="169" t="s">
        <v>21</v>
      </c>
      <c r="B20" s="170"/>
      <c r="C20" s="67"/>
      <c r="D20" s="121">
        <v>118.1</v>
      </c>
      <c r="E20" s="123">
        <f t="shared" si="0"/>
        <v>0</v>
      </c>
      <c r="F20" s="3"/>
      <c r="H20" s="47" t="s">
        <v>139</v>
      </c>
      <c r="I20" s="70" t="s">
        <v>90</v>
      </c>
      <c r="J20" s="70" t="s">
        <v>91</v>
      </c>
      <c r="K20" s="147" t="str">
        <f t="array" ref="K20">INDEX(Type,MATCH(I20&amp;J20,Airport&amp;Runway,0))</f>
        <v>ILS</v>
      </c>
      <c r="L20" s="148" t="str">
        <f t="array" ref="L20">INDEX(VV,MATCH(I20&amp;J20,Airport&amp;Runway,0))</f>
        <v>-</v>
      </c>
      <c r="M20" s="149">
        <f t="array" ref="M20">INDEX(VIZ,MATCH(I20&amp;J20,Airport&amp;Runway,0))</f>
        <v>600</v>
      </c>
      <c r="N20" s="3"/>
      <c r="O20" s="177"/>
      <c r="P20" s="178"/>
      <c r="Q20" s="178"/>
      <c r="R20" s="178"/>
      <c r="S20" s="179"/>
      <c r="T20" s="3"/>
    </row>
    <row r="21" spans="1:20" ht="15" customHeight="1">
      <c r="A21" s="169" t="s">
        <v>18</v>
      </c>
      <c r="B21" s="170"/>
      <c r="C21" s="67"/>
      <c r="D21" s="121">
        <v>155.69999999999999</v>
      </c>
      <c r="E21" s="123">
        <f t="shared" si="0"/>
        <v>0</v>
      </c>
      <c r="F21" s="3"/>
      <c r="H21" s="60" t="s">
        <v>140</v>
      </c>
      <c r="I21" s="71" t="s">
        <v>116</v>
      </c>
      <c r="J21" s="71" t="s">
        <v>119</v>
      </c>
      <c r="K21" s="150" t="str">
        <f t="array" ref="K21">INDEX(Type,MATCH(I21&amp;J21,Airport&amp;Runway,0))</f>
        <v>LLZ</v>
      </c>
      <c r="L21" s="150">
        <f t="array" ref="L21">INDEX(VV,MATCH(I21&amp;J21,Airport&amp;Runway,0))</f>
        <v>500</v>
      </c>
      <c r="M21" s="151">
        <f t="array" ref="M21">INDEX(VIZ,MATCH(I21&amp;J21,Airport&amp;Runway,0))</f>
        <v>600</v>
      </c>
      <c r="N21" s="3"/>
      <c r="O21" s="177"/>
      <c r="P21" s="178"/>
      <c r="Q21" s="178"/>
      <c r="R21" s="178"/>
      <c r="S21" s="179"/>
      <c r="T21" s="3"/>
    </row>
    <row r="22" spans="1:20" ht="15" customHeight="1" thickBot="1">
      <c r="A22" s="210" t="s">
        <v>22</v>
      </c>
      <c r="B22" s="211"/>
      <c r="C22" s="68"/>
      <c r="D22" s="124">
        <v>22.5</v>
      </c>
      <c r="E22" s="125">
        <f t="shared" si="0"/>
        <v>0</v>
      </c>
      <c r="F22" s="3"/>
      <c r="H22" s="32" t="s">
        <v>141</v>
      </c>
      <c r="I22" s="72" t="s">
        <v>98</v>
      </c>
      <c r="J22" s="72" t="s">
        <v>99</v>
      </c>
      <c r="K22" s="152" t="str">
        <f t="array" ref="K22">INDEX(Type,MATCH(I22&amp;J22,Airport&amp;Runway,0))</f>
        <v>LLZ</v>
      </c>
      <c r="L22" s="152">
        <f t="array" ref="L22">INDEX(VV,MATCH(I22&amp;J22,Airport&amp;Runway,0))</f>
        <v>400</v>
      </c>
      <c r="M22" s="153">
        <f t="array" ref="M22">INDEX(VIZ,MATCH(I22&amp;J22,Airport&amp;Runway,0))</f>
        <v>600</v>
      </c>
      <c r="N22" s="3"/>
      <c r="O22" s="177"/>
      <c r="P22" s="178"/>
      <c r="Q22" s="178"/>
      <c r="R22" s="178"/>
      <c r="S22" s="179"/>
      <c r="T22" s="3"/>
    </row>
    <row r="23" spans="1:20" ht="15" customHeight="1" thickTop="1" thickBot="1">
      <c r="A23" s="203" t="s">
        <v>189</v>
      </c>
      <c r="B23" s="209"/>
      <c r="C23" s="69">
        <v>45</v>
      </c>
      <c r="D23" s="126">
        <v>178.7</v>
      </c>
      <c r="E23" s="125">
        <f t="shared" si="0"/>
        <v>8041.4999999999991</v>
      </c>
      <c r="F23" s="3"/>
      <c r="H23" s="34"/>
      <c r="I23" s="34"/>
      <c r="J23" s="34"/>
      <c r="K23" s="34"/>
      <c r="L23" s="3"/>
      <c r="M23" s="3"/>
      <c r="N23" s="3"/>
      <c r="O23" s="177"/>
      <c r="P23" s="178"/>
      <c r="Q23" s="178"/>
      <c r="R23" s="178"/>
      <c r="S23" s="179"/>
      <c r="T23" s="3"/>
    </row>
    <row r="24" spans="1:20" ht="15" customHeight="1" thickTop="1">
      <c r="A24" s="198" t="s">
        <v>23</v>
      </c>
      <c r="B24" s="212"/>
      <c r="C24" s="127">
        <f>SUM(C17:C23)</f>
        <v>3911.2</v>
      </c>
      <c r="D24" s="127">
        <f>(E24/C24)</f>
        <v>88.958296175086929</v>
      </c>
      <c r="E24" s="128">
        <f>SUM(E17:E23)</f>
        <v>347933.68799999997</v>
      </c>
      <c r="F24" s="3"/>
      <c r="H24" s="265" t="s">
        <v>142</v>
      </c>
      <c r="I24" s="266"/>
      <c r="J24" s="43"/>
      <c r="K24" s="1"/>
      <c r="L24" s="167" t="s">
        <v>143</v>
      </c>
      <c r="M24" s="168"/>
      <c r="N24" s="3"/>
      <c r="O24" s="177"/>
      <c r="P24" s="178"/>
      <c r="Q24" s="178"/>
      <c r="R24" s="178"/>
      <c r="S24" s="179"/>
      <c r="T24" s="3"/>
    </row>
    <row r="25" spans="1:20" ht="15" customHeight="1">
      <c r="A25" s="213" t="s">
        <v>19</v>
      </c>
      <c r="B25" s="214"/>
      <c r="C25" s="129">
        <f>SUM(R3+R4+R5)*6</f>
        <v>215.39999999999998</v>
      </c>
      <c r="D25" s="129">
        <v>93.6</v>
      </c>
      <c r="E25" s="130">
        <f>C25*D25</f>
        <v>20161.439999999995</v>
      </c>
      <c r="F25" s="3"/>
      <c r="H25" s="44" t="s">
        <v>144</v>
      </c>
      <c r="I25" s="45" t="s">
        <v>145</v>
      </c>
      <c r="J25" s="46"/>
      <c r="K25" s="1"/>
      <c r="L25" s="10" t="s">
        <v>144</v>
      </c>
      <c r="M25" s="11" t="s">
        <v>146</v>
      </c>
      <c r="N25" s="3"/>
      <c r="O25" s="177"/>
      <c r="P25" s="178"/>
      <c r="Q25" s="178"/>
      <c r="R25" s="178"/>
      <c r="S25" s="179"/>
      <c r="T25" s="3"/>
    </row>
    <row r="26" spans="1:20" ht="15" customHeight="1" thickBot="1">
      <c r="A26" s="169" t="s">
        <v>24</v>
      </c>
      <c r="B26" s="170"/>
      <c r="C26" s="121">
        <f>C24-C25</f>
        <v>3695.7999999999997</v>
      </c>
      <c r="D26" s="121">
        <f>E26/C26</f>
        <v>88.68776665403972</v>
      </c>
      <c r="E26" s="123">
        <f>E24-E25</f>
        <v>327772.24799999996</v>
      </c>
      <c r="F26" s="3"/>
      <c r="H26" s="73"/>
      <c r="I26" s="74">
        <v>250</v>
      </c>
      <c r="J26" s="2"/>
      <c r="K26" s="1"/>
      <c r="L26" s="73"/>
      <c r="M26" s="74">
        <v>550</v>
      </c>
      <c r="N26" s="3"/>
      <c r="O26" s="180"/>
      <c r="P26" s="181"/>
      <c r="Q26" s="181"/>
      <c r="R26" s="181"/>
      <c r="S26" s="182"/>
      <c r="T26" s="3"/>
    </row>
    <row r="27" spans="1:20" ht="15" customHeight="1" thickTop="1" thickBot="1">
      <c r="A27" s="203" t="s">
        <v>20</v>
      </c>
      <c r="B27" s="209"/>
      <c r="C27" s="126">
        <f>C24-C18</f>
        <v>3353.2</v>
      </c>
      <c r="D27" s="126">
        <f>E27/C27</f>
        <v>88.185818919241314</v>
      </c>
      <c r="E27" s="131">
        <f>E24-E18</f>
        <v>295704.68799999997</v>
      </c>
      <c r="F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ht="15" customHeight="1" thickTop="1"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ht="15" customHeight="1" thickBot="1">
      <c r="A29" s="173" t="s">
        <v>34</v>
      </c>
      <c r="B29" s="173"/>
      <c r="C29" s="173"/>
      <c r="D29" s="173"/>
      <c r="E29" s="17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ht="15" customHeight="1" thickTop="1" thickBot="1">
      <c r="A30" s="269" t="s">
        <v>35</v>
      </c>
      <c r="B30" s="270"/>
      <c r="C30" s="270"/>
      <c r="D30" s="271"/>
      <c r="E30" s="75">
        <v>396</v>
      </c>
      <c r="H30" s="79" t="s">
        <v>168</v>
      </c>
      <c r="I30" s="80" t="s">
        <v>169</v>
      </c>
      <c r="J30" s="81" t="s">
        <v>170</v>
      </c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ht="15" customHeight="1" thickTop="1">
      <c r="A31" s="198" t="s">
        <v>47</v>
      </c>
      <c r="B31" s="199"/>
      <c r="C31" s="206">
        <v>0.1</v>
      </c>
      <c r="D31" s="207"/>
      <c r="E31" s="12"/>
      <c r="H31" s="82" t="s">
        <v>171</v>
      </c>
      <c r="I31" s="83" t="s">
        <v>169</v>
      </c>
      <c r="J31" s="84" t="s">
        <v>172</v>
      </c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1:20" ht="15" customHeight="1" thickBot="1">
      <c r="A32" s="169" t="s">
        <v>36</v>
      </c>
      <c r="B32" s="201"/>
      <c r="C32" s="189" t="s">
        <v>37</v>
      </c>
      <c r="D32" s="190"/>
      <c r="E32" s="13"/>
      <c r="H32" s="85" t="s">
        <v>173</v>
      </c>
      <c r="I32" s="86" t="s">
        <v>169</v>
      </c>
      <c r="J32" s="87" t="s">
        <v>174</v>
      </c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1:20" ht="15" customHeight="1" thickTop="1" thickBot="1">
      <c r="A33" s="169" t="s">
        <v>38</v>
      </c>
      <c r="B33" s="201"/>
      <c r="C33" s="189" t="s">
        <v>39</v>
      </c>
      <c r="D33" s="190"/>
      <c r="E33" s="1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1:20" ht="15" customHeight="1" thickTop="1">
      <c r="A34" s="169" t="s">
        <v>40</v>
      </c>
      <c r="B34" s="201"/>
      <c r="C34" s="189" t="s">
        <v>41</v>
      </c>
      <c r="D34" s="190"/>
      <c r="E34" s="13"/>
      <c r="H34" s="167" t="s">
        <v>175</v>
      </c>
      <c r="I34" s="168"/>
      <c r="J34" s="167" t="s">
        <v>176</v>
      </c>
      <c r="K34" s="168"/>
      <c r="L34" s="3"/>
      <c r="M34" s="3"/>
      <c r="N34" s="3"/>
      <c r="O34" s="3"/>
      <c r="P34" s="3"/>
      <c r="Q34" s="3"/>
      <c r="R34" s="3"/>
      <c r="S34" s="3"/>
      <c r="T34" s="3"/>
    </row>
    <row r="35" spans="1:20" ht="15" customHeight="1" thickBot="1">
      <c r="A35" s="203" t="s">
        <v>42</v>
      </c>
      <c r="B35" s="204"/>
      <c r="C35" s="256" t="s">
        <v>43</v>
      </c>
      <c r="D35" s="257"/>
      <c r="E35" s="14"/>
      <c r="H35" s="60" t="s">
        <v>177</v>
      </c>
      <c r="I35" s="42" t="s">
        <v>178</v>
      </c>
      <c r="J35" s="60" t="s">
        <v>177</v>
      </c>
      <c r="K35" s="42" t="s">
        <v>179</v>
      </c>
      <c r="L35" s="3"/>
      <c r="M35" s="3"/>
      <c r="N35" s="3"/>
      <c r="O35" s="3"/>
      <c r="P35" s="3"/>
      <c r="Q35" s="3"/>
      <c r="R35" s="3"/>
      <c r="S35" s="3"/>
      <c r="T35" s="3"/>
    </row>
    <row r="36" spans="1:20" ht="15" customHeight="1" thickTop="1">
      <c r="A36" s="253" t="s">
        <v>44</v>
      </c>
      <c r="B36" s="254"/>
      <c r="C36" s="254"/>
      <c r="D36" s="255"/>
      <c r="E36" s="134">
        <f>SUM(E30:E35)</f>
        <v>396</v>
      </c>
      <c r="H36" s="88" t="s">
        <v>180</v>
      </c>
      <c r="I36" s="42">
        <v>0.2</v>
      </c>
      <c r="J36" s="88" t="s">
        <v>180</v>
      </c>
      <c r="K36" s="42">
        <v>1</v>
      </c>
      <c r="L36" s="3"/>
      <c r="M36" s="3"/>
      <c r="N36" s="3"/>
      <c r="O36" s="3"/>
      <c r="P36" s="3"/>
      <c r="Q36" s="3"/>
      <c r="R36" s="3"/>
      <c r="S36" s="3"/>
      <c r="T36" s="3"/>
    </row>
    <row r="37" spans="1:20" ht="15" customHeight="1">
      <c r="A37" s="169" t="s">
        <v>48</v>
      </c>
      <c r="B37" s="201"/>
      <c r="C37" s="201"/>
      <c r="D37" s="202"/>
      <c r="E37" s="135"/>
      <c r="H37" s="88" t="s">
        <v>181</v>
      </c>
      <c r="I37" s="42">
        <v>0.4</v>
      </c>
      <c r="J37" s="88" t="s">
        <v>181</v>
      </c>
      <c r="K37" s="42">
        <v>0.9</v>
      </c>
      <c r="L37" s="3"/>
      <c r="M37" s="3"/>
      <c r="N37" s="3"/>
      <c r="O37" s="3"/>
      <c r="P37" s="3"/>
      <c r="Q37" s="3"/>
      <c r="R37" s="3"/>
      <c r="S37" s="3"/>
      <c r="T37" s="3"/>
    </row>
    <row r="38" spans="1:20" ht="15" customHeight="1">
      <c r="A38" s="210" t="s">
        <v>51</v>
      </c>
      <c r="B38" s="252"/>
      <c r="C38" s="132">
        <f>66*SQRT(C24/4200)</f>
        <v>63.69044781485794</v>
      </c>
      <c r="D38" s="15" t="s">
        <v>49</v>
      </c>
      <c r="E38" s="136"/>
      <c r="H38" s="88" t="s">
        <v>182</v>
      </c>
      <c r="I38" s="42">
        <v>0.5</v>
      </c>
      <c r="J38" s="88" t="s">
        <v>182</v>
      </c>
      <c r="K38" s="42">
        <v>0.9</v>
      </c>
      <c r="L38" s="3"/>
      <c r="M38" s="3"/>
      <c r="N38" s="3"/>
      <c r="O38" s="3"/>
      <c r="P38" s="3"/>
      <c r="Q38" s="3"/>
      <c r="R38" s="3"/>
      <c r="S38" s="3"/>
      <c r="T38" s="3"/>
    </row>
    <row r="39" spans="1:20" ht="15" customHeight="1">
      <c r="A39" s="236" t="s">
        <v>52</v>
      </c>
      <c r="B39" s="237"/>
      <c r="C39" s="133">
        <v>69</v>
      </c>
      <c r="D39" s="16" t="s">
        <v>49</v>
      </c>
      <c r="E39" s="137"/>
      <c r="H39" s="88" t="s">
        <v>183</v>
      </c>
      <c r="I39" s="42">
        <v>0.7</v>
      </c>
      <c r="J39" s="88" t="s">
        <v>183</v>
      </c>
      <c r="K39" s="42">
        <v>0.8</v>
      </c>
      <c r="L39" s="3"/>
      <c r="M39" s="3"/>
      <c r="N39" s="3"/>
      <c r="O39" s="3"/>
      <c r="P39" s="3"/>
      <c r="Q39" s="3"/>
      <c r="R39" s="3"/>
      <c r="S39" s="3"/>
      <c r="T39" s="3"/>
    </row>
    <row r="40" spans="1:20" ht="15" customHeight="1">
      <c r="A40" s="236" t="s">
        <v>50</v>
      </c>
      <c r="B40" s="237"/>
      <c r="C40" s="237"/>
      <c r="D40" s="237"/>
      <c r="E40" s="137"/>
      <c r="H40" s="88" t="s">
        <v>184</v>
      </c>
      <c r="I40" s="42">
        <v>0.8</v>
      </c>
      <c r="J40" s="88" t="s">
        <v>184</v>
      </c>
      <c r="K40" s="42">
        <v>0.7</v>
      </c>
      <c r="L40" s="3"/>
      <c r="M40" s="3"/>
      <c r="N40" s="3"/>
      <c r="O40" s="3"/>
      <c r="P40" s="3"/>
      <c r="Q40" s="3"/>
      <c r="R40" s="3"/>
      <c r="S40" s="3"/>
      <c r="T40" s="3"/>
    </row>
    <row r="41" spans="1:20" ht="15" customHeight="1">
      <c r="A41" s="260" t="s">
        <v>54</v>
      </c>
      <c r="B41" s="261"/>
      <c r="C41" s="261"/>
      <c r="D41" s="139">
        <f>SUM(1.8*(C38/73.9)^2)</f>
        <v>1.337002542869228</v>
      </c>
      <c r="E41" s="137"/>
      <c r="H41" s="88" t="s">
        <v>185</v>
      </c>
      <c r="I41" s="42">
        <v>0.9</v>
      </c>
      <c r="J41" s="88" t="s">
        <v>185</v>
      </c>
      <c r="K41" s="42">
        <v>0.5</v>
      </c>
      <c r="L41" s="3"/>
      <c r="M41" s="3"/>
      <c r="N41" s="3"/>
      <c r="O41" s="3"/>
      <c r="P41" s="3"/>
      <c r="Q41" s="3"/>
      <c r="R41" s="3"/>
      <c r="S41" s="3"/>
      <c r="T41" s="3"/>
    </row>
    <row r="42" spans="1:20" ht="15" customHeight="1">
      <c r="A42" s="260" t="s">
        <v>53</v>
      </c>
      <c r="B42" s="261"/>
      <c r="C42" s="261"/>
      <c r="D42" s="140">
        <v>1.31</v>
      </c>
      <c r="E42" s="137"/>
      <c r="H42" s="88" t="s">
        <v>186</v>
      </c>
      <c r="I42" s="42">
        <v>0.9</v>
      </c>
      <c r="J42" s="88" t="s">
        <v>186</v>
      </c>
      <c r="K42" s="42">
        <v>0.4</v>
      </c>
      <c r="L42" s="3"/>
      <c r="M42" s="3"/>
      <c r="N42" s="3"/>
      <c r="O42" s="3"/>
      <c r="P42" s="3"/>
      <c r="Q42" s="3"/>
      <c r="R42" s="3"/>
      <c r="S42" s="3"/>
      <c r="T42" s="3"/>
    </row>
    <row r="43" spans="1:20" ht="15" customHeight="1">
      <c r="A43" s="236" t="s">
        <v>55</v>
      </c>
      <c r="B43" s="237"/>
      <c r="C43" s="17"/>
      <c r="D43" s="141">
        <f>LARGE(D41:D42,1)</f>
        <v>1.337002542869228</v>
      </c>
      <c r="E43" s="138">
        <f>E36*D43</f>
        <v>529.45300697621428</v>
      </c>
      <c r="H43" s="88" t="s">
        <v>187</v>
      </c>
      <c r="I43" s="42">
        <v>0.9</v>
      </c>
      <c r="J43" s="88" t="s">
        <v>187</v>
      </c>
      <c r="K43" s="42">
        <v>0.2</v>
      </c>
      <c r="L43" s="3"/>
      <c r="M43" s="3"/>
      <c r="N43" s="3"/>
      <c r="O43" s="3"/>
      <c r="P43" s="3"/>
      <c r="Q43" s="3"/>
      <c r="R43" s="3"/>
      <c r="S43" s="3"/>
      <c r="T43" s="3"/>
    </row>
    <row r="44" spans="1:20" ht="15" customHeight="1" thickBot="1">
      <c r="A44" s="258" t="s">
        <v>45</v>
      </c>
      <c r="B44" s="259"/>
      <c r="C44" s="259"/>
      <c r="D44" s="259"/>
      <c r="E44" s="76">
        <v>1740</v>
      </c>
      <c r="H44" s="89" t="s">
        <v>188</v>
      </c>
      <c r="I44" s="38">
        <v>1</v>
      </c>
      <c r="J44" s="89" t="s">
        <v>188</v>
      </c>
      <c r="K44" s="38">
        <v>0</v>
      </c>
      <c r="L44" s="3"/>
      <c r="M44" s="3"/>
      <c r="N44" s="3"/>
      <c r="O44" s="3"/>
      <c r="P44" s="3"/>
      <c r="Q44" s="3"/>
      <c r="R44" s="3"/>
      <c r="S44" s="3"/>
      <c r="T44" s="3"/>
    </row>
    <row r="45" spans="1:20" ht="15" customHeight="1" thickTop="1">
      <c r="A45" s="3"/>
      <c r="B45" s="3"/>
      <c r="C45" s="3"/>
      <c r="D45" s="3"/>
      <c r="E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spans="1:20" ht="15" customHeight="1" thickBot="1">
      <c r="A46" s="173" t="s">
        <v>56</v>
      </c>
      <c r="B46" s="173"/>
      <c r="C46" s="173"/>
      <c r="D46" s="173"/>
      <c r="E46" s="17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spans="1:20" ht="15" customHeight="1" thickTop="1">
      <c r="A47" s="208" t="s">
        <v>57</v>
      </c>
      <c r="B47" s="208"/>
      <c r="C47" s="208"/>
      <c r="D47" s="208"/>
      <c r="E47" s="75">
        <v>368</v>
      </c>
      <c r="H47" s="90"/>
      <c r="I47" s="91"/>
      <c r="J47" s="91"/>
      <c r="K47" s="92"/>
      <c r="L47" s="3"/>
      <c r="M47" s="3"/>
      <c r="N47" s="3"/>
      <c r="O47" s="3"/>
      <c r="P47" s="3"/>
      <c r="Q47" s="3"/>
      <c r="R47" s="3"/>
      <c r="S47" s="3"/>
      <c r="T47" s="3"/>
    </row>
    <row r="48" spans="1:20" s="1" customFormat="1" ht="15" customHeight="1">
      <c r="A48" s="169" t="s">
        <v>73</v>
      </c>
      <c r="B48" s="201"/>
      <c r="C48" s="201"/>
      <c r="D48" s="202"/>
      <c r="E48" s="138">
        <f>SUM(E47,(E51:E60))*1.5*1.43</f>
        <v>789.36</v>
      </c>
      <c r="H48" s="93"/>
      <c r="I48" s="16"/>
      <c r="J48" s="16"/>
      <c r="K48" s="94"/>
      <c r="L48" s="3"/>
      <c r="M48" s="3"/>
      <c r="N48" s="3"/>
      <c r="O48" s="3"/>
      <c r="P48" s="3"/>
      <c r="Q48" s="3"/>
      <c r="R48" s="3"/>
      <c r="S48" s="3"/>
      <c r="T48" s="3"/>
    </row>
    <row r="49" spans="1:20" s="1" customFormat="1" ht="15" customHeight="1" thickBot="1">
      <c r="A49" s="203" t="s">
        <v>74</v>
      </c>
      <c r="B49" s="204"/>
      <c r="C49" s="204"/>
      <c r="D49" s="205"/>
      <c r="E49" s="142">
        <f>E47*1.11</f>
        <v>408.48</v>
      </c>
      <c r="H49" s="93"/>
      <c r="I49" s="16"/>
      <c r="J49" s="16"/>
      <c r="K49" s="94"/>
      <c r="L49" s="3"/>
      <c r="M49" s="3"/>
      <c r="N49" s="3"/>
      <c r="O49" s="3"/>
      <c r="P49" s="3"/>
      <c r="Q49" s="3"/>
      <c r="R49" s="3"/>
      <c r="S49" s="3"/>
      <c r="T49" s="3"/>
    </row>
    <row r="50" spans="1:20" ht="15" customHeight="1" thickTop="1">
      <c r="A50" s="198" t="s">
        <v>75</v>
      </c>
      <c r="B50" s="199"/>
      <c r="C50" s="199"/>
      <c r="D50" s="200"/>
      <c r="E50" s="31"/>
      <c r="H50" s="93"/>
      <c r="I50" s="16"/>
      <c r="J50" s="16"/>
      <c r="K50" s="94"/>
      <c r="L50" s="3"/>
      <c r="M50" s="3"/>
      <c r="N50" s="3"/>
      <c r="O50" s="3"/>
      <c r="P50" s="3"/>
      <c r="Q50" s="3"/>
      <c r="R50" s="3"/>
      <c r="S50" s="3"/>
      <c r="T50" s="3"/>
    </row>
    <row r="51" spans="1:20" ht="15" customHeight="1">
      <c r="A51" s="236" t="s">
        <v>58</v>
      </c>
      <c r="B51" s="237"/>
      <c r="C51" s="240">
        <v>0.3</v>
      </c>
      <c r="D51" s="241"/>
      <c r="E51" s="28"/>
      <c r="H51" s="93"/>
      <c r="I51" s="16"/>
      <c r="J51" s="16"/>
      <c r="K51" s="94"/>
      <c r="L51" s="3"/>
      <c r="M51" s="3"/>
      <c r="N51" s="3"/>
      <c r="O51" s="3"/>
      <c r="P51" s="3"/>
      <c r="Q51" s="3"/>
      <c r="R51" s="3"/>
      <c r="S51" s="3"/>
      <c r="T51" s="3"/>
    </row>
    <row r="52" spans="1:20" ht="15" customHeight="1">
      <c r="A52" s="236" t="s">
        <v>59</v>
      </c>
      <c r="B52" s="237"/>
      <c r="C52" s="240">
        <v>0.2</v>
      </c>
      <c r="D52" s="241"/>
      <c r="E52" s="28"/>
      <c r="H52" s="93"/>
      <c r="I52" s="16"/>
      <c r="J52" s="16"/>
      <c r="K52" s="94"/>
      <c r="L52" s="3"/>
      <c r="M52" s="3"/>
      <c r="N52" s="3"/>
      <c r="O52" s="3"/>
      <c r="P52" s="3"/>
      <c r="Q52" s="3"/>
      <c r="R52" s="3"/>
      <c r="S52" s="3"/>
      <c r="T52" s="3"/>
    </row>
    <row r="53" spans="1:20" ht="15" customHeight="1">
      <c r="A53" s="236" t="s">
        <v>60</v>
      </c>
      <c r="B53" s="237"/>
      <c r="C53" s="240">
        <v>0.5</v>
      </c>
      <c r="D53" s="241"/>
      <c r="E53" s="28"/>
      <c r="H53" s="93"/>
      <c r="I53" s="16"/>
      <c r="J53" s="16"/>
      <c r="K53" s="94"/>
      <c r="L53" s="3"/>
      <c r="M53" s="3"/>
      <c r="N53" s="3"/>
      <c r="O53" s="3"/>
      <c r="P53" s="3"/>
      <c r="Q53" s="3"/>
      <c r="R53" s="3"/>
      <c r="S53" s="3"/>
      <c r="T53" s="3"/>
    </row>
    <row r="54" spans="1:20" ht="15" customHeight="1" thickBot="1">
      <c r="A54" s="238" t="s">
        <v>61</v>
      </c>
      <c r="B54" s="239"/>
      <c r="C54" s="242" t="s">
        <v>43</v>
      </c>
      <c r="D54" s="243"/>
      <c r="E54" s="29"/>
      <c r="H54" s="93"/>
      <c r="I54" s="16"/>
      <c r="J54" s="16"/>
      <c r="K54" s="94"/>
      <c r="L54" s="3"/>
      <c r="M54" s="3"/>
      <c r="N54" s="3"/>
      <c r="O54" s="3"/>
      <c r="P54" s="3"/>
      <c r="Q54" s="3"/>
      <c r="R54" s="3"/>
      <c r="S54" s="3"/>
      <c r="T54" s="3"/>
    </row>
    <row r="55" spans="1:20" ht="15" customHeight="1" thickTop="1">
      <c r="A55" s="248" t="s">
        <v>62</v>
      </c>
      <c r="B55" s="249"/>
      <c r="C55" s="27" t="s">
        <v>63</v>
      </c>
      <c r="D55" s="27" t="s">
        <v>64</v>
      </c>
      <c r="E55" s="20"/>
      <c r="H55" s="93"/>
      <c r="I55" s="16"/>
      <c r="J55" s="16"/>
      <c r="K55" s="94"/>
      <c r="L55" s="3"/>
      <c r="M55" s="3"/>
      <c r="N55" s="3"/>
      <c r="O55" s="3"/>
      <c r="P55" s="3"/>
      <c r="Q55" s="3"/>
      <c r="R55" s="3"/>
      <c r="S55" s="3"/>
      <c r="T55" s="3"/>
    </row>
    <row r="56" spans="1:20" ht="15" customHeight="1">
      <c r="A56" s="250" t="s">
        <v>65</v>
      </c>
      <c r="B56" s="251"/>
      <c r="C56" s="21" t="s">
        <v>76</v>
      </c>
      <c r="D56" s="22">
        <v>0</v>
      </c>
      <c r="E56" s="30"/>
      <c r="H56" s="93"/>
      <c r="I56" s="16"/>
      <c r="J56" s="16"/>
      <c r="K56" s="94"/>
      <c r="L56" s="3"/>
      <c r="M56" s="3"/>
      <c r="N56" s="3"/>
      <c r="O56" s="3"/>
      <c r="P56" s="3"/>
      <c r="Q56" s="3"/>
      <c r="R56" s="3"/>
      <c r="S56" s="3"/>
      <c r="T56" s="3"/>
    </row>
    <row r="57" spans="1:20" ht="15" customHeight="1">
      <c r="A57" s="244" t="s">
        <v>66</v>
      </c>
      <c r="B57" s="245"/>
      <c r="C57" s="23" t="s">
        <v>77</v>
      </c>
      <c r="D57" s="24">
        <v>0.25</v>
      </c>
      <c r="E57" s="30"/>
      <c r="H57" s="93"/>
      <c r="I57" s="16"/>
      <c r="J57" s="16"/>
      <c r="K57" s="94"/>
      <c r="L57" s="3"/>
      <c r="M57" s="3"/>
      <c r="N57" s="3"/>
      <c r="O57" s="3"/>
      <c r="P57" s="3"/>
      <c r="Q57" s="3"/>
      <c r="R57" s="3"/>
      <c r="S57" s="3"/>
      <c r="T57" s="3"/>
    </row>
    <row r="58" spans="1:20" ht="15" customHeight="1">
      <c r="A58" s="244" t="s">
        <v>67</v>
      </c>
      <c r="B58" s="245"/>
      <c r="C58" s="23" t="s">
        <v>78</v>
      </c>
      <c r="D58" s="24">
        <v>0.25</v>
      </c>
      <c r="E58" s="28"/>
      <c r="H58" s="93"/>
      <c r="I58" s="16"/>
      <c r="J58" s="16"/>
      <c r="K58" s="94"/>
      <c r="L58" s="3"/>
      <c r="M58" s="3"/>
      <c r="N58" s="3"/>
      <c r="O58" s="3"/>
      <c r="P58" s="3"/>
      <c r="Q58" s="3"/>
      <c r="R58" s="3"/>
      <c r="S58" s="3"/>
      <c r="T58" s="3"/>
    </row>
    <row r="59" spans="1:20" ht="15" customHeight="1">
      <c r="A59" s="244" t="s">
        <v>68</v>
      </c>
      <c r="B59" s="245"/>
      <c r="C59" s="23" t="s">
        <v>79</v>
      </c>
      <c r="D59" s="24">
        <v>0.5</v>
      </c>
      <c r="E59" s="28"/>
      <c r="H59" s="93"/>
      <c r="I59" s="16"/>
      <c r="J59" s="16"/>
      <c r="K59" s="94"/>
      <c r="L59" s="3"/>
      <c r="M59" s="3"/>
      <c r="N59" s="3"/>
      <c r="O59" s="3"/>
      <c r="P59" s="3"/>
      <c r="Q59" s="3"/>
      <c r="R59" s="3"/>
      <c r="S59" s="3"/>
      <c r="T59" s="3"/>
    </row>
    <row r="60" spans="1:20" ht="15" customHeight="1" thickBot="1">
      <c r="A60" s="246" t="s">
        <v>69</v>
      </c>
      <c r="B60" s="247"/>
      <c r="C60" s="25" t="s">
        <v>80</v>
      </c>
      <c r="D60" s="26">
        <v>0.5</v>
      </c>
      <c r="E60" s="29"/>
      <c r="H60" s="93"/>
      <c r="I60" s="16"/>
      <c r="J60" s="16"/>
      <c r="K60" s="94"/>
      <c r="L60" s="3"/>
      <c r="M60" s="3"/>
      <c r="N60" s="3"/>
      <c r="O60" s="3"/>
      <c r="P60" s="3"/>
      <c r="Q60" s="3"/>
      <c r="R60" s="3"/>
      <c r="S60" s="3"/>
      <c r="T60" s="3"/>
    </row>
    <row r="61" spans="1:20" ht="15" customHeight="1" thickTop="1">
      <c r="A61" s="198" t="s">
        <v>70</v>
      </c>
      <c r="B61" s="199"/>
      <c r="C61" s="199"/>
      <c r="D61" s="199"/>
      <c r="E61" s="143">
        <f>SUM(E51:E60)+E47</f>
        <v>368</v>
      </c>
      <c r="H61" s="95"/>
      <c r="I61" s="2"/>
      <c r="J61" s="2"/>
      <c r="K61" s="96"/>
      <c r="L61" s="3"/>
      <c r="M61" s="3"/>
      <c r="N61" s="3"/>
      <c r="O61" s="3"/>
      <c r="P61" s="3"/>
      <c r="Q61" s="3"/>
      <c r="R61" s="3"/>
      <c r="S61" s="3"/>
      <c r="T61" s="3"/>
    </row>
    <row r="62" spans="1:20" ht="15" customHeight="1">
      <c r="A62" s="169" t="s">
        <v>71</v>
      </c>
      <c r="B62" s="201"/>
      <c r="C62" s="201"/>
      <c r="D62" s="201"/>
      <c r="E62" s="138">
        <f>E61*1.43</f>
        <v>526.24</v>
      </c>
      <c r="H62" s="95"/>
      <c r="I62" s="2"/>
      <c r="J62" s="2"/>
      <c r="K62" s="96"/>
      <c r="L62" s="3"/>
      <c r="M62" s="3"/>
      <c r="N62" s="3"/>
      <c r="O62" s="3"/>
      <c r="P62" s="3"/>
      <c r="Q62" s="3"/>
      <c r="R62" s="3"/>
      <c r="S62" s="3"/>
      <c r="T62" s="3"/>
    </row>
    <row r="63" spans="1:20" ht="15" customHeight="1" thickBot="1">
      <c r="A63" s="203" t="s">
        <v>72</v>
      </c>
      <c r="B63" s="204"/>
      <c r="C63" s="204"/>
      <c r="D63" s="204"/>
      <c r="E63" s="76">
        <v>1799</v>
      </c>
      <c r="H63" s="97"/>
      <c r="I63" s="98"/>
      <c r="J63" s="98"/>
      <c r="K63" s="99"/>
      <c r="L63" s="3"/>
      <c r="M63" s="3"/>
      <c r="N63" s="3"/>
      <c r="O63" s="3"/>
      <c r="P63" s="3"/>
      <c r="Q63" s="3"/>
      <c r="R63" s="3"/>
      <c r="S63" s="3"/>
      <c r="T63" s="3"/>
    </row>
    <row r="64" spans="1:20" ht="15.75" thickTop="1"/>
  </sheetData>
  <sheetProtection password="EF47" sheet="1" objects="1" scenarios="1"/>
  <dataConsolidate/>
  <mergeCells count="105">
    <mergeCell ref="A38:B38"/>
    <mergeCell ref="A36:D36"/>
    <mergeCell ref="A37:D37"/>
    <mergeCell ref="A31:B31"/>
    <mergeCell ref="A32:B32"/>
    <mergeCell ref="C35:D35"/>
    <mergeCell ref="A44:D44"/>
    <mergeCell ref="A39:B39"/>
    <mergeCell ref="P1:R1"/>
    <mergeCell ref="A40:D40"/>
    <mergeCell ref="A42:C42"/>
    <mergeCell ref="A41:C41"/>
    <mergeCell ref="A43:B43"/>
    <mergeCell ref="H18:M18"/>
    <mergeCell ref="H19:I19"/>
    <mergeCell ref="H24:I24"/>
    <mergeCell ref="L24:M24"/>
    <mergeCell ref="C2:D2"/>
    <mergeCell ref="A29:E29"/>
    <mergeCell ref="A30:D30"/>
    <mergeCell ref="A2:B2"/>
    <mergeCell ref="A13:B13"/>
    <mergeCell ref="A3:B3"/>
    <mergeCell ref="A4:B4"/>
    <mergeCell ref="A63:D63"/>
    <mergeCell ref="A51:B51"/>
    <mergeCell ref="A52:B52"/>
    <mergeCell ref="A53:B53"/>
    <mergeCell ref="A54:B54"/>
    <mergeCell ref="C51:D51"/>
    <mergeCell ref="C52:D52"/>
    <mergeCell ref="C53:D53"/>
    <mergeCell ref="C54:D54"/>
    <mergeCell ref="A58:B58"/>
    <mergeCell ref="A59:B59"/>
    <mergeCell ref="A60:B60"/>
    <mergeCell ref="A61:D61"/>
    <mergeCell ref="A62:D62"/>
    <mergeCell ref="A55:B55"/>
    <mergeCell ref="A56:B56"/>
    <mergeCell ref="A57:B57"/>
    <mergeCell ref="H1:K1"/>
    <mergeCell ref="H2:K2"/>
    <mergeCell ref="H5:K6"/>
    <mergeCell ref="I7:K7"/>
    <mergeCell ref="H4:K4"/>
    <mergeCell ref="H15:K15"/>
    <mergeCell ref="A1:F1"/>
    <mergeCell ref="A15:E15"/>
    <mergeCell ref="A16:B16"/>
    <mergeCell ref="C3:D3"/>
    <mergeCell ref="C4:D4"/>
    <mergeCell ref="C5:D5"/>
    <mergeCell ref="C6:D6"/>
    <mergeCell ref="C7:D7"/>
    <mergeCell ref="E4:F4"/>
    <mergeCell ref="E5:F5"/>
    <mergeCell ref="E6:F6"/>
    <mergeCell ref="E7:F7"/>
    <mergeCell ref="E11:F11"/>
    <mergeCell ref="E12:F12"/>
    <mergeCell ref="E13:F13"/>
    <mergeCell ref="A7:B7"/>
    <mergeCell ref="A5:B5"/>
    <mergeCell ref="A8:B8"/>
    <mergeCell ref="E2:F2"/>
    <mergeCell ref="E3:F3"/>
    <mergeCell ref="H16:J16"/>
    <mergeCell ref="H9:K9"/>
    <mergeCell ref="H10:K13"/>
    <mergeCell ref="E9:F9"/>
    <mergeCell ref="A50:D50"/>
    <mergeCell ref="A48:D48"/>
    <mergeCell ref="A49:D49"/>
    <mergeCell ref="A33:B33"/>
    <mergeCell ref="A34:B34"/>
    <mergeCell ref="A35:B35"/>
    <mergeCell ref="C31:D31"/>
    <mergeCell ref="C32:D32"/>
    <mergeCell ref="A46:E46"/>
    <mergeCell ref="A47:D47"/>
    <mergeCell ref="A27:B27"/>
    <mergeCell ref="A20:B20"/>
    <mergeCell ref="A22:B22"/>
    <mergeCell ref="A23:B23"/>
    <mergeCell ref="A24:B24"/>
    <mergeCell ref="A25:B25"/>
    <mergeCell ref="A26:B26"/>
    <mergeCell ref="A21:B21"/>
    <mergeCell ref="H34:I34"/>
    <mergeCell ref="J34:K34"/>
    <mergeCell ref="A6:B6"/>
    <mergeCell ref="E8:F8"/>
    <mergeCell ref="O15:S15"/>
    <mergeCell ref="O16:S26"/>
    <mergeCell ref="A19:B19"/>
    <mergeCell ref="C11:D11"/>
    <mergeCell ref="C12:D12"/>
    <mergeCell ref="C13:D13"/>
    <mergeCell ref="A9:B9"/>
    <mergeCell ref="A10:B10"/>
    <mergeCell ref="A11:B11"/>
    <mergeCell ref="A12:B12"/>
    <mergeCell ref="C33:D33"/>
    <mergeCell ref="C34:D34"/>
  </mergeCells>
  <conditionalFormatting sqref="C24">
    <cfRule type="cellIs" dxfId="2" priority="6" operator="greaterThan">
      <formula>4200</formula>
    </cfRule>
  </conditionalFormatting>
  <conditionalFormatting sqref="E44">
    <cfRule type="iconSet" priority="5">
      <iconSet iconSet="3TrafficLights2">
        <cfvo type="percent" val="0"/>
        <cfvo type="percent" val="5" gte="0"/>
        <cfvo type="num" val="$E$43"/>
      </iconSet>
    </cfRule>
  </conditionalFormatting>
  <conditionalFormatting sqref="E63">
    <cfRule type="iconSet" priority="4">
      <iconSet iconSet="3TrafficLights2">
        <cfvo type="percent" val="0"/>
        <cfvo type="percent" val="5" gte="0"/>
        <cfvo type="num" val="$E$62"/>
      </iconSet>
    </cfRule>
  </conditionalFormatting>
  <conditionalFormatting sqref="C26">
    <cfRule type="cellIs" dxfId="1" priority="2" operator="greaterThan">
      <formula>4000</formula>
    </cfRule>
  </conditionalFormatting>
  <conditionalFormatting sqref="I7:K7">
    <cfRule type="cellIs" dxfId="0" priority="1" operator="greaterThan">
      <formula>0</formula>
    </cfRule>
  </conditionalFormatting>
  <dataValidations count="6">
    <dataValidation type="list" allowBlank="1" showInputMessage="1" showErrorMessage="1" promptTitle="Chose an aircraft" sqref="B17">
      <formula1>Aircraft</formula1>
    </dataValidation>
    <dataValidation type="list" allowBlank="1" showInputMessage="1" showErrorMessage="1" sqref="J22">
      <formula1>INDIRECT($I$22)</formula1>
    </dataValidation>
    <dataValidation type="list" allowBlank="1" showInputMessage="1" showErrorMessage="1" sqref="J21">
      <formula1>INDIRECT($I$21)</formula1>
    </dataValidation>
    <dataValidation type="list" allowBlank="1" showInputMessage="1" showErrorMessage="1" sqref="J20">
      <formula1>INDIRECT($I$20)</formula1>
    </dataValidation>
    <dataValidation type="list" allowBlank="1" showInputMessage="1" showErrorMessage="1" sqref="I20:I22">
      <formula1>Aerodrome</formula1>
    </dataValidation>
    <dataValidation type="list" allowBlank="1" showInputMessage="1" showErrorMessage="1" sqref="O5:O8 O10">
      <formula1>PWR</formula1>
    </dataValidation>
  </dataValidations>
  <printOptions horizontalCentered="1" verticalCentered="1"/>
  <pageMargins left="0.70866141732283472" right="0.70866141732283472" top="0.35433070866141736" bottom="0.35433070866141736" header="0.39370078740157483" footer="0.39370078740157483"/>
  <pageSetup paperSize="9" scale="58" fitToWidth="0" orientation="landscape" horizontalDpi="0" verticalDpi="0" r:id="rId1"/>
  <ignoredErrors>
    <ignoredError sqref="D24:E24 D26:D27" formula="1"/>
    <ignoredError sqref="R4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K37:L39"/>
  <sheetViews>
    <sheetView showGridLines="0" workbookViewId="0">
      <selection activeCell="J1" sqref="J1"/>
    </sheetView>
  </sheetViews>
  <sheetFormatPr defaultRowHeight="15"/>
  <sheetData>
    <row r="37" spans="11:12" ht="15.75" thickBot="1"/>
    <row r="38" spans="11:12">
      <c r="K38" s="164" t="s">
        <v>190</v>
      </c>
      <c r="L38" s="165" t="s">
        <v>191</v>
      </c>
    </row>
    <row r="39" spans="11:12" ht="15.75" thickBot="1">
      <c r="K39" s="166">
        <v>0</v>
      </c>
      <c r="L39" s="163">
        <f>SUM(K39*1.8)+32</f>
        <v>32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53"/>
  <sheetViews>
    <sheetView workbookViewId="0">
      <selection activeCell="H16" sqref="H16"/>
    </sheetView>
  </sheetViews>
  <sheetFormatPr defaultRowHeight="15"/>
  <cols>
    <col min="3" max="3" width="10.42578125" bestFit="1" customWidth="1"/>
  </cols>
  <sheetData>
    <row r="1" spans="1:7" ht="15.75" thickBot="1"/>
    <row r="2" spans="1:7" ht="15.75" thickTop="1">
      <c r="A2" s="100" t="s">
        <v>25</v>
      </c>
      <c r="B2" s="101" t="s">
        <v>26</v>
      </c>
      <c r="C2" s="102" t="s">
        <v>27</v>
      </c>
      <c r="D2" s="103"/>
      <c r="E2" s="100" t="s">
        <v>166</v>
      </c>
      <c r="F2" s="102" t="s">
        <v>160</v>
      </c>
      <c r="G2" s="103"/>
    </row>
    <row r="3" spans="1:7">
      <c r="A3" s="104" t="s">
        <v>29</v>
      </c>
      <c r="B3" s="105">
        <v>2934.2</v>
      </c>
      <c r="C3" s="106">
        <v>87.14</v>
      </c>
      <c r="D3" s="103"/>
      <c r="E3" s="107">
        <v>75</v>
      </c>
      <c r="F3" s="108">
        <v>24</v>
      </c>
      <c r="G3" s="103"/>
    </row>
    <row r="4" spans="1:7" ht="15.75" thickBot="1">
      <c r="A4" s="109" t="s">
        <v>30</v>
      </c>
      <c r="B4" s="110">
        <v>2947.4</v>
      </c>
      <c r="C4" s="111">
        <v>85.2</v>
      </c>
      <c r="D4" s="103"/>
      <c r="E4" s="107">
        <v>65</v>
      </c>
      <c r="F4" s="108">
        <v>21.6</v>
      </c>
      <c r="G4" s="103"/>
    </row>
    <row r="5" spans="1:7" ht="16.5" thickTop="1" thickBot="1">
      <c r="A5" s="103"/>
      <c r="B5" s="103"/>
      <c r="C5" s="103"/>
      <c r="D5" s="103"/>
      <c r="E5" s="107">
        <v>55</v>
      </c>
      <c r="F5" s="108">
        <v>19</v>
      </c>
      <c r="G5" s="103"/>
    </row>
    <row r="6" spans="1:7" ht="16.5" thickTop="1" thickBot="1">
      <c r="A6" s="100" t="s">
        <v>28</v>
      </c>
      <c r="B6" s="102" t="s">
        <v>26</v>
      </c>
      <c r="C6" s="103"/>
      <c r="D6" s="103"/>
      <c r="E6" s="112" t="s">
        <v>167</v>
      </c>
      <c r="F6" s="113">
        <v>22</v>
      </c>
      <c r="G6" s="103"/>
    </row>
    <row r="7" spans="1:7" ht="15.75" thickTop="1">
      <c r="A7" s="104">
        <v>80</v>
      </c>
      <c r="B7" s="108">
        <f>A7*6</f>
        <v>480</v>
      </c>
      <c r="C7" s="103" t="s">
        <v>165</v>
      </c>
      <c r="D7" s="103"/>
      <c r="E7" s="103"/>
      <c r="F7" s="103"/>
      <c r="G7" s="103"/>
    </row>
    <row r="8" spans="1:7" ht="15.75" thickBot="1">
      <c r="A8" s="109">
        <v>93</v>
      </c>
      <c r="B8" s="114">
        <f>A8*6</f>
        <v>558</v>
      </c>
      <c r="C8" s="103" t="s">
        <v>164</v>
      </c>
      <c r="D8" s="103"/>
      <c r="E8" s="103"/>
      <c r="F8" s="103"/>
      <c r="G8" s="103"/>
    </row>
    <row r="9" spans="1:7" ht="15.75" thickTop="1">
      <c r="A9" s="103"/>
      <c r="B9" s="103"/>
      <c r="C9" s="103"/>
      <c r="D9" s="103"/>
      <c r="E9" s="103"/>
      <c r="F9" s="103"/>
      <c r="G9" s="103"/>
    </row>
    <row r="10" spans="1:7">
      <c r="A10" s="103"/>
      <c r="B10" s="103"/>
      <c r="C10" s="103"/>
      <c r="D10" s="103"/>
      <c r="E10" s="103"/>
      <c r="F10" s="103"/>
      <c r="G10" s="103"/>
    </row>
    <row r="11" spans="1:7">
      <c r="A11" s="103"/>
      <c r="B11" s="103"/>
      <c r="C11" s="103"/>
      <c r="D11" s="103"/>
      <c r="E11" s="103"/>
      <c r="F11" s="103"/>
      <c r="G11" s="103"/>
    </row>
    <row r="12" spans="1:7">
      <c r="A12" s="103"/>
      <c r="B12" s="103"/>
      <c r="C12" s="103"/>
      <c r="D12" s="103"/>
      <c r="E12" s="103"/>
      <c r="F12" s="103"/>
      <c r="G12" s="103"/>
    </row>
    <row r="13" spans="1:7">
      <c r="A13" s="103"/>
      <c r="B13" s="103"/>
      <c r="C13" s="103"/>
      <c r="D13" s="103"/>
      <c r="E13" s="103"/>
      <c r="F13" s="103"/>
      <c r="G13" s="103"/>
    </row>
    <row r="14" spans="1:7">
      <c r="A14" s="273" t="s">
        <v>89</v>
      </c>
      <c r="B14" s="273"/>
      <c r="C14" s="273"/>
      <c r="D14" s="273"/>
      <c r="E14" s="273"/>
      <c r="F14" s="115"/>
      <c r="G14" s="115"/>
    </row>
    <row r="15" spans="1:7">
      <c r="A15" s="116" t="s">
        <v>90</v>
      </c>
      <c r="B15" s="116" t="s">
        <v>91</v>
      </c>
      <c r="C15" s="116" t="s">
        <v>92</v>
      </c>
      <c r="D15" s="116" t="s">
        <v>93</v>
      </c>
      <c r="E15" s="116" t="s">
        <v>94</v>
      </c>
      <c r="F15" s="103"/>
      <c r="G15" s="103"/>
    </row>
    <row r="16" spans="1:7">
      <c r="A16" s="116" t="s">
        <v>95</v>
      </c>
      <c r="B16" s="116" t="s">
        <v>96</v>
      </c>
      <c r="C16" s="116" t="s">
        <v>97</v>
      </c>
      <c r="D16" s="103"/>
      <c r="E16" s="103"/>
      <c r="F16" s="103"/>
      <c r="G16" s="103"/>
    </row>
    <row r="17" spans="1:7">
      <c r="A17" s="116" t="s">
        <v>98</v>
      </c>
      <c r="B17" s="116" t="s">
        <v>99</v>
      </c>
      <c r="C17" s="116" t="s">
        <v>100</v>
      </c>
      <c r="D17" s="103"/>
      <c r="E17" s="103"/>
      <c r="F17" s="103"/>
      <c r="G17" s="103"/>
    </row>
    <row r="18" spans="1:7">
      <c r="A18" s="116" t="s">
        <v>101</v>
      </c>
      <c r="B18" s="116" t="s">
        <v>102</v>
      </c>
      <c r="C18" s="116" t="s">
        <v>103</v>
      </c>
      <c r="D18" s="103"/>
      <c r="E18" s="103"/>
      <c r="F18" s="103"/>
      <c r="G18" s="103"/>
    </row>
    <row r="19" spans="1:7">
      <c r="A19" s="116" t="s">
        <v>104</v>
      </c>
      <c r="B19" s="116" t="s">
        <v>105</v>
      </c>
      <c r="C19" s="116" t="s">
        <v>106</v>
      </c>
      <c r="D19" s="116"/>
      <c r="E19" s="116"/>
      <c r="F19" s="103"/>
      <c r="G19" s="103"/>
    </row>
    <row r="20" spans="1:7">
      <c r="A20" s="116" t="s">
        <v>107</v>
      </c>
      <c r="B20" s="116" t="s">
        <v>108</v>
      </c>
      <c r="C20" s="116" t="s">
        <v>109</v>
      </c>
      <c r="D20" s="116"/>
      <c r="E20" s="103"/>
      <c r="F20" s="103"/>
      <c r="G20" s="103"/>
    </row>
    <row r="21" spans="1:7">
      <c r="A21" s="116" t="s">
        <v>110</v>
      </c>
      <c r="B21" s="116" t="s">
        <v>111</v>
      </c>
      <c r="C21" s="116" t="s">
        <v>112</v>
      </c>
      <c r="D21" s="103"/>
      <c r="E21" s="103"/>
      <c r="F21" s="103"/>
      <c r="G21" s="103"/>
    </row>
    <row r="22" spans="1:7">
      <c r="A22" s="116" t="s">
        <v>113</v>
      </c>
      <c r="B22" s="116" t="s">
        <v>114</v>
      </c>
      <c r="C22" s="116" t="s">
        <v>115</v>
      </c>
      <c r="D22" s="116"/>
      <c r="E22" s="116"/>
      <c r="F22" s="116"/>
      <c r="G22" s="116"/>
    </row>
    <row r="23" spans="1:7">
      <c r="A23" s="116" t="s">
        <v>116</v>
      </c>
      <c r="B23" s="116" t="s">
        <v>117</v>
      </c>
      <c r="C23" s="116" t="s">
        <v>118</v>
      </c>
      <c r="D23" s="116" t="s">
        <v>119</v>
      </c>
      <c r="E23" s="116" t="s">
        <v>120</v>
      </c>
      <c r="F23" s="116" t="s">
        <v>121</v>
      </c>
      <c r="G23" s="116" t="s">
        <v>122</v>
      </c>
    </row>
    <row r="24" spans="1:7">
      <c r="A24" s="116" t="s">
        <v>123</v>
      </c>
      <c r="B24" s="116" t="s">
        <v>124</v>
      </c>
      <c r="C24" s="116" t="s">
        <v>125</v>
      </c>
      <c r="D24" s="116"/>
      <c r="E24" s="116"/>
      <c r="F24" s="103"/>
      <c r="G24" s="103"/>
    </row>
    <row r="25" spans="1:7">
      <c r="A25" s="103"/>
      <c r="B25" s="103"/>
      <c r="C25" s="103"/>
      <c r="D25" s="103"/>
      <c r="E25" s="103"/>
      <c r="F25" s="103"/>
      <c r="G25" s="103"/>
    </row>
    <row r="26" spans="1:7">
      <c r="A26" s="103"/>
      <c r="B26" s="103"/>
      <c r="C26" s="103"/>
      <c r="D26" s="103"/>
      <c r="E26" s="103"/>
      <c r="F26" s="103"/>
      <c r="G26" s="103"/>
    </row>
    <row r="27" spans="1:7">
      <c r="A27" s="115" t="s">
        <v>126</v>
      </c>
      <c r="B27" s="117" t="s">
        <v>127</v>
      </c>
      <c r="C27" s="117" t="s">
        <v>128</v>
      </c>
      <c r="D27" s="117" t="s">
        <v>129</v>
      </c>
      <c r="E27" s="117" t="s">
        <v>130</v>
      </c>
      <c r="F27" s="103"/>
      <c r="G27" s="103"/>
    </row>
    <row r="28" spans="1:7">
      <c r="A28" s="118" t="s">
        <v>90</v>
      </c>
      <c r="B28" s="116" t="s">
        <v>91</v>
      </c>
      <c r="C28" s="116" t="s">
        <v>131</v>
      </c>
      <c r="D28" s="119" t="s">
        <v>132</v>
      </c>
      <c r="E28" s="119">
        <v>600</v>
      </c>
      <c r="F28" s="103"/>
      <c r="G28" s="103"/>
    </row>
    <row r="29" spans="1:7">
      <c r="A29" s="118" t="s">
        <v>90</v>
      </c>
      <c r="B29" s="116" t="s">
        <v>92</v>
      </c>
      <c r="C29" s="116" t="s">
        <v>131</v>
      </c>
      <c r="D29" s="119" t="s">
        <v>132</v>
      </c>
      <c r="E29" s="119">
        <v>600</v>
      </c>
      <c r="F29" s="103"/>
      <c r="G29" s="103"/>
    </row>
    <row r="30" spans="1:7">
      <c r="A30" s="118" t="s">
        <v>90</v>
      </c>
      <c r="B30" s="116" t="s">
        <v>93</v>
      </c>
      <c r="C30" s="116" t="s">
        <v>133</v>
      </c>
      <c r="D30" s="120">
        <v>500</v>
      </c>
      <c r="E30" s="119">
        <v>1500</v>
      </c>
      <c r="F30" s="103"/>
      <c r="G30" s="103"/>
    </row>
    <row r="31" spans="1:7">
      <c r="A31" s="118" t="s">
        <v>90</v>
      </c>
      <c r="B31" s="116" t="s">
        <v>94</v>
      </c>
      <c r="C31" s="116" t="s">
        <v>133</v>
      </c>
      <c r="D31" s="120">
        <v>500</v>
      </c>
      <c r="E31" s="119">
        <v>1500</v>
      </c>
      <c r="F31" s="103"/>
      <c r="G31" s="103"/>
    </row>
    <row r="32" spans="1:7">
      <c r="A32" s="118" t="s">
        <v>95</v>
      </c>
      <c r="B32" s="116" t="s">
        <v>96</v>
      </c>
      <c r="C32" s="116" t="s">
        <v>133</v>
      </c>
      <c r="D32" s="120">
        <v>600</v>
      </c>
      <c r="E32" s="119">
        <v>1500</v>
      </c>
      <c r="F32" s="103"/>
      <c r="G32" s="103"/>
    </row>
    <row r="33" spans="1:7">
      <c r="A33" s="118" t="s">
        <v>95</v>
      </c>
      <c r="B33" s="116" t="s">
        <v>97</v>
      </c>
      <c r="C33" s="103" t="s">
        <v>134</v>
      </c>
      <c r="D33" s="119">
        <v>300</v>
      </c>
      <c r="E33" s="119">
        <v>600</v>
      </c>
      <c r="F33" s="103"/>
      <c r="G33" s="103"/>
    </row>
    <row r="34" spans="1:7">
      <c r="A34" s="118" t="s">
        <v>98</v>
      </c>
      <c r="B34" s="116" t="s">
        <v>99</v>
      </c>
      <c r="C34" s="103" t="s">
        <v>134</v>
      </c>
      <c r="D34" s="119">
        <v>400</v>
      </c>
      <c r="E34" s="119">
        <v>600</v>
      </c>
      <c r="F34" s="103"/>
      <c r="G34" s="103"/>
    </row>
    <row r="35" spans="1:7">
      <c r="A35" s="118" t="s">
        <v>98</v>
      </c>
      <c r="B35" s="116" t="s">
        <v>100</v>
      </c>
      <c r="C35" s="103" t="s">
        <v>134</v>
      </c>
      <c r="D35" s="119">
        <v>500</v>
      </c>
      <c r="E35" s="119">
        <v>600</v>
      </c>
      <c r="F35" s="103"/>
      <c r="G35" s="103"/>
    </row>
    <row r="36" spans="1:7">
      <c r="A36" s="116" t="s">
        <v>101</v>
      </c>
      <c r="B36" s="116" t="s">
        <v>102</v>
      </c>
      <c r="C36" s="103" t="s">
        <v>134</v>
      </c>
      <c r="D36" s="119">
        <v>400</v>
      </c>
      <c r="E36" s="119">
        <v>600</v>
      </c>
      <c r="F36" s="103"/>
      <c r="G36" s="103"/>
    </row>
    <row r="37" spans="1:7">
      <c r="A37" s="116" t="s">
        <v>101</v>
      </c>
      <c r="B37" s="116" t="s">
        <v>103</v>
      </c>
      <c r="C37" s="103" t="s">
        <v>135</v>
      </c>
      <c r="D37" s="119">
        <v>700</v>
      </c>
      <c r="E37" s="119">
        <v>1800</v>
      </c>
      <c r="F37" s="103"/>
      <c r="G37" s="103"/>
    </row>
    <row r="38" spans="1:7">
      <c r="A38" s="116" t="s">
        <v>104</v>
      </c>
      <c r="B38" s="116" t="s">
        <v>105</v>
      </c>
      <c r="C38" s="103" t="s">
        <v>134</v>
      </c>
      <c r="D38" s="119">
        <v>400</v>
      </c>
      <c r="E38" s="119">
        <v>600</v>
      </c>
      <c r="F38" s="103"/>
      <c r="G38" s="103"/>
    </row>
    <row r="39" spans="1:7">
      <c r="A39" s="116" t="s">
        <v>104</v>
      </c>
      <c r="B39" s="116" t="s">
        <v>106</v>
      </c>
      <c r="C39" s="103" t="s">
        <v>134</v>
      </c>
      <c r="D39" s="119">
        <v>400</v>
      </c>
      <c r="E39" s="119">
        <v>600</v>
      </c>
      <c r="F39" s="103"/>
      <c r="G39" s="103"/>
    </row>
    <row r="40" spans="1:7">
      <c r="A40" s="116" t="s">
        <v>107</v>
      </c>
      <c r="B40" s="116" t="s">
        <v>108</v>
      </c>
      <c r="C40" s="103" t="s">
        <v>134</v>
      </c>
      <c r="D40" s="119">
        <v>400</v>
      </c>
      <c r="E40" s="119">
        <v>800</v>
      </c>
      <c r="F40" s="103"/>
      <c r="G40" s="103"/>
    </row>
    <row r="41" spans="1:7">
      <c r="A41" s="116" t="s">
        <v>107</v>
      </c>
      <c r="B41" s="116" t="s">
        <v>109</v>
      </c>
      <c r="C41" s="103" t="s">
        <v>134</v>
      </c>
      <c r="D41" s="119">
        <v>300</v>
      </c>
      <c r="E41" s="119">
        <v>600</v>
      </c>
      <c r="F41" s="103"/>
      <c r="G41" s="103"/>
    </row>
    <row r="42" spans="1:7">
      <c r="A42" s="116" t="s">
        <v>110</v>
      </c>
      <c r="B42" s="116" t="s">
        <v>111</v>
      </c>
      <c r="C42" s="103" t="s">
        <v>134</v>
      </c>
      <c r="D42" s="119">
        <v>300</v>
      </c>
      <c r="E42" s="119">
        <v>600</v>
      </c>
      <c r="F42" s="103"/>
      <c r="G42" s="103"/>
    </row>
    <row r="43" spans="1:7">
      <c r="A43" s="116" t="s">
        <v>110</v>
      </c>
      <c r="B43" s="116" t="s">
        <v>112</v>
      </c>
      <c r="C43" s="103" t="s">
        <v>134</v>
      </c>
      <c r="D43" s="119">
        <v>400</v>
      </c>
      <c r="E43" s="119">
        <v>600</v>
      </c>
      <c r="F43" s="103"/>
      <c r="G43" s="103"/>
    </row>
    <row r="44" spans="1:7">
      <c r="A44" s="116" t="s">
        <v>113</v>
      </c>
      <c r="B44" s="116" t="s">
        <v>114</v>
      </c>
      <c r="C44" s="103" t="s">
        <v>134</v>
      </c>
      <c r="D44" s="119">
        <v>500</v>
      </c>
      <c r="E44" s="119">
        <v>600</v>
      </c>
      <c r="F44" s="103"/>
      <c r="G44" s="103"/>
    </row>
    <row r="45" spans="1:7">
      <c r="A45" s="116" t="s">
        <v>113</v>
      </c>
      <c r="B45" s="116" t="s">
        <v>115</v>
      </c>
      <c r="C45" s="103" t="s">
        <v>134</v>
      </c>
      <c r="D45" s="119">
        <v>500</v>
      </c>
      <c r="E45" s="119">
        <v>700</v>
      </c>
      <c r="F45" s="103"/>
      <c r="G45" s="103"/>
    </row>
    <row r="46" spans="1:7">
      <c r="A46" s="116" t="s">
        <v>116</v>
      </c>
      <c r="B46" s="116" t="s">
        <v>117</v>
      </c>
      <c r="C46" s="103" t="s">
        <v>134</v>
      </c>
      <c r="D46" s="119">
        <v>500</v>
      </c>
      <c r="E46" s="119">
        <v>600</v>
      </c>
      <c r="F46" s="103"/>
      <c r="G46" s="103"/>
    </row>
    <row r="47" spans="1:7">
      <c r="A47" s="116" t="s">
        <v>116</v>
      </c>
      <c r="B47" s="116" t="s">
        <v>118</v>
      </c>
      <c r="C47" s="103" t="s">
        <v>134</v>
      </c>
      <c r="D47" s="119">
        <v>500</v>
      </c>
      <c r="E47" s="119">
        <v>600</v>
      </c>
      <c r="F47" s="103"/>
      <c r="G47" s="103"/>
    </row>
    <row r="48" spans="1:7">
      <c r="A48" s="116" t="s">
        <v>116</v>
      </c>
      <c r="B48" s="116" t="s">
        <v>119</v>
      </c>
      <c r="C48" s="103" t="s">
        <v>134</v>
      </c>
      <c r="D48" s="119">
        <v>500</v>
      </c>
      <c r="E48" s="119">
        <v>600</v>
      </c>
      <c r="F48" s="103"/>
      <c r="G48" s="103"/>
    </row>
    <row r="49" spans="1:7">
      <c r="A49" s="116" t="s">
        <v>116</v>
      </c>
      <c r="B49" s="116" t="s">
        <v>120</v>
      </c>
      <c r="C49" s="103" t="s">
        <v>134</v>
      </c>
      <c r="D49" s="119">
        <v>400</v>
      </c>
      <c r="E49" s="119">
        <v>600</v>
      </c>
      <c r="F49" s="103"/>
      <c r="G49" s="103"/>
    </row>
    <row r="50" spans="1:7">
      <c r="A50" s="116" t="s">
        <v>116</v>
      </c>
      <c r="B50" s="116" t="s">
        <v>121</v>
      </c>
      <c r="C50" s="103" t="s">
        <v>134</v>
      </c>
      <c r="D50" s="119">
        <v>400</v>
      </c>
      <c r="E50" s="119">
        <v>600</v>
      </c>
      <c r="F50" s="103"/>
      <c r="G50" s="103"/>
    </row>
    <row r="51" spans="1:7">
      <c r="A51" s="116" t="s">
        <v>116</v>
      </c>
      <c r="B51" s="116" t="s">
        <v>122</v>
      </c>
      <c r="C51" s="103" t="s">
        <v>134</v>
      </c>
      <c r="D51" s="119">
        <v>500</v>
      </c>
      <c r="E51" s="119">
        <v>600</v>
      </c>
      <c r="F51" s="103"/>
      <c r="G51" s="103"/>
    </row>
    <row r="52" spans="1:7">
      <c r="A52" s="116" t="s">
        <v>123</v>
      </c>
      <c r="B52" s="116" t="s">
        <v>124</v>
      </c>
      <c r="C52" s="103" t="s">
        <v>134</v>
      </c>
      <c r="D52" s="119">
        <v>500</v>
      </c>
      <c r="E52" s="119">
        <v>700</v>
      </c>
      <c r="F52" s="103"/>
      <c r="G52" s="103"/>
    </row>
    <row r="53" spans="1:7">
      <c r="A53" s="116" t="s">
        <v>123</v>
      </c>
      <c r="B53" s="116" t="s">
        <v>125</v>
      </c>
      <c r="C53" s="103" t="s">
        <v>134</v>
      </c>
      <c r="D53" s="119">
        <v>500</v>
      </c>
      <c r="E53" s="119">
        <v>600</v>
      </c>
      <c r="F53" s="103"/>
      <c r="G53" s="103"/>
    </row>
  </sheetData>
  <mergeCells count="1">
    <mergeCell ref="A14:E1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B1"/>
  <sheetViews>
    <sheetView workbookViewId="0">
      <selection activeCell="B2" sqref="B2"/>
    </sheetView>
  </sheetViews>
  <sheetFormatPr defaultRowHeight="15"/>
  <cols>
    <col min="1" max="1" width="12.140625" bestFit="1" customWidth="1"/>
  </cols>
  <sheetData>
    <row r="1" spans="1:2">
      <c r="A1" s="1" t="s">
        <v>31</v>
      </c>
      <c r="B1" s="1" t="s">
        <v>162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23</vt:i4>
      </vt:variant>
    </vt:vector>
  </HeadingPairs>
  <TitlesOfParts>
    <vt:vector size="27" baseType="lpstr">
      <vt:lpstr>Weight &amp; Ballance</vt:lpstr>
      <vt:lpstr>Performance Charts</vt:lpstr>
      <vt:lpstr>Data</vt:lpstr>
      <vt:lpstr>Notes</vt:lpstr>
      <vt:lpstr>Aerodrome</vt:lpstr>
      <vt:lpstr>Aircraft</vt:lpstr>
      <vt:lpstr>AircraftData</vt:lpstr>
      <vt:lpstr>Airport</vt:lpstr>
      <vt:lpstr>EKAH</vt:lpstr>
      <vt:lpstr>EKBI</vt:lpstr>
      <vt:lpstr>EKCH</vt:lpstr>
      <vt:lpstr>EKKA</vt:lpstr>
      <vt:lpstr>EKOD</vt:lpstr>
      <vt:lpstr>EKRK</vt:lpstr>
      <vt:lpstr>EKSP</vt:lpstr>
      <vt:lpstr>EKYT</vt:lpstr>
      <vt:lpstr>ESMS</vt:lpstr>
      <vt:lpstr>ESTA</vt:lpstr>
      <vt:lpstr>Fuel</vt:lpstr>
      <vt:lpstr>GLHR</vt:lpstr>
      <vt:lpstr>PWR</vt:lpstr>
      <vt:lpstr>Runway</vt:lpstr>
      <vt:lpstr>Type</vt:lpstr>
      <vt:lpstr>'Performance Charts'!Udskriftsområde</vt:lpstr>
      <vt:lpstr>'Weight &amp; Ballance'!Udskriftsområde</vt:lpstr>
      <vt:lpstr>VIZ</vt:lpstr>
      <vt:lpstr>VV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Vatslav Roudnitski</dc:creator>
  <cp:lastModifiedBy>Vatslav Roudnitski</cp:lastModifiedBy>
  <cp:lastPrinted>2013-03-14T23:39:11Z</cp:lastPrinted>
  <dcterms:created xsi:type="dcterms:W3CDTF">2013-03-10T11:15:56Z</dcterms:created>
  <dcterms:modified xsi:type="dcterms:W3CDTF">2013-06-15T06:42:36Z</dcterms:modified>
</cp:coreProperties>
</file>